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Sheet1!$A$2:$V$2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<sst xmlns="http://schemas.openxmlformats.org/spreadsheetml/2006/main" count="189" uniqueCount="114">
  <si>
    <t>2022年度明光市事业单位公开招聘工作人员拟聘用人员名单(第一批)</t>
  </si>
  <si>
    <t>序号</t>
  </si>
  <si>
    <t>招聘单位</t>
  </si>
  <si>
    <t>岗位名称</t>
  </si>
  <si>
    <t>岗位代码</t>
  </si>
  <si>
    <t>准考证号</t>
  </si>
  <si>
    <t>姓名</t>
  </si>
  <si>
    <t>性别</t>
  </si>
  <si>
    <t>出生年月</t>
  </si>
  <si>
    <t>学历</t>
  </si>
  <si>
    <t>学位</t>
  </si>
  <si>
    <t>毕业院校</t>
  </si>
  <si>
    <t>所学专业</t>
  </si>
  <si>
    <t>毕业时间</t>
  </si>
  <si>
    <t>《职业能力
倾向测验》</t>
  </si>
  <si>
    <t>《综合应
用能力》</t>
  </si>
  <si>
    <t>笔试
成绩</t>
  </si>
  <si>
    <t>专业测试
成绩</t>
  </si>
  <si>
    <t>最终成绩</t>
  </si>
  <si>
    <t>明光市干部信息管理中心</t>
  </si>
  <si>
    <t>专业技术</t>
  </si>
  <si>
    <t>82.4</t>
  </si>
  <si>
    <t>明光市网络安全和
信息化事务中心</t>
  </si>
  <si>
    <t>994202200613</t>
  </si>
  <si>
    <t>蔡振</t>
  </si>
  <si>
    <t>安徽新华学院</t>
  </si>
  <si>
    <t>网络工程</t>
  </si>
  <si>
    <t>2018-07</t>
  </si>
  <si>
    <t>73.6</t>
  </si>
  <si>
    <t>明光市综治中心</t>
  </si>
  <si>
    <t>管理</t>
  </si>
  <si>
    <t>77</t>
  </si>
  <si>
    <t>明光市人大机关
信息管理中心</t>
  </si>
  <si>
    <t>81</t>
  </si>
  <si>
    <t>明光市政协专委会
联络服务中心</t>
  </si>
  <si>
    <t>81.6</t>
  </si>
  <si>
    <t>明光市价格认证中心</t>
  </si>
  <si>
    <t>75.8</t>
  </si>
  <si>
    <t>明光市信用体系
建设管理中心</t>
  </si>
  <si>
    <t>76</t>
  </si>
  <si>
    <t>安徽省明光中学</t>
  </si>
  <si>
    <t>79.2</t>
  </si>
  <si>
    <t>明光市教育会计核算中心</t>
  </si>
  <si>
    <t>79</t>
  </si>
  <si>
    <t>明光市高新技术
创业服务中心</t>
  </si>
  <si>
    <t>994202201621</t>
  </si>
  <si>
    <t>柏金叶</t>
  </si>
  <si>
    <t>1994-03-13</t>
  </si>
  <si>
    <t>安庆师范大学</t>
  </si>
  <si>
    <t>环境科学</t>
  </si>
  <si>
    <t>80.4</t>
  </si>
  <si>
    <t>明光市养老服务中心</t>
  </si>
  <si>
    <t>明光市社会福利院</t>
  </si>
  <si>
    <t>80.6</t>
  </si>
  <si>
    <t>明光市法律援助中心</t>
  </si>
  <si>
    <t>82.6</t>
  </si>
  <si>
    <t>明光市乡镇街道财政所</t>
  </si>
  <si>
    <t>明光市财政信息中心</t>
  </si>
  <si>
    <t>大连理工大学</t>
  </si>
  <si>
    <t>明光市财政工程
造价审核中心</t>
  </si>
  <si>
    <t>79.8</t>
  </si>
  <si>
    <t>84.8</t>
  </si>
  <si>
    <t>明光市养老保险
管理服务中心</t>
  </si>
  <si>
    <t>85</t>
  </si>
  <si>
    <t>明光市医疗保障
基金管理中心</t>
  </si>
  <si>
    <t>81.8</t>
  </si>
  <si>
    <t>明光市建设工程
质量监督站</t>
  </si>
  <si>
    <t>85.2</t>
  </si>
  <si>
    <t>明光市房屋征收管理中心</t>
  </si>
  <si>
    <t>81.2</t>
  </si>
  <si>
    <t>明光市乡村振兴促进中心</t>
  </si>
  <si>
    <t>76.2</t>
  </si>
  <si>
    <t>81.4</t>
  </si>
  <si>
    <t>明光女山湖省级
自然保护区管理中心</t>
  </si>
  <si>
    <t>67.4</t>
  </si>
  <si>
    <t>明光市机电管理所</t>
  </si>
  <si>
    <t>78</t>
  </si>
  <si>
    <t>明光市南沙河管理所</t>
  </si>
  <si>
    <t>河海大学
文天学院</t>
  </si>
  <si>
    <t>77.8</t>
  </si>
  <si>
    <t>77.6</t>
  </si>
  <si>
    <t>明光市疾病预防控制中心</t>
  </si>
  <si>
    <t>70.6</t>
  </si>
  <si>
    <t>80</t>
  </si>
  <si>
    <t>明光市普查中心</t>
  </si>
  <si>
    <t>994202204001</t>
  </si>
  <si>
    <t>84</t>
  </si>
  <si>
    <t>明光市安全生产监察大队</t>
  </si>
  <si>
    <t>82</t>
  </si>
  <si>
    <t>77.2</t>
  </si>
  <si>
    <t>明光市城市管理综合
行政执法大队</t>
  </si>
  <si>
    <t>80.8</t>
  </si>
  <si>
    <t>明光市城市管理
监督指挥中心</t>
  </si>
  <si>
    <t>75.6</t>
  </si>
  <si>
    <t>明光市市场监管
综合行政执法大队</t>
  </si>
  <si>
    <t>明光市消费者权益保护委员会秘书处</t>
  </si>
  <si>
    <t>武汉东湖学院</t>
  </si>
  <si>
    <t>法学</t>
  </si>
  <si>
    <t>2022-06</t>
  </si>
  <si>
    <t>中共明光市委党校</t>
  </si>
  <si>
    <t>79.4</t>
  </si>
  <si>
    <t>明光市电子商务服务中心</t>
  </si>
  <si>
    <t>明光市文化馆</t>
  </si>
  <si>
    <t>78.4</t>
  </si>
  <si>
    <t>明光市旅游事业发展中心</t>
  </si>
  <si>
    <t>明光市图书馆</t>
  </si>
  <si>
    <t>76.4</t>
  </si>
  <si>
    <t>明光市经济开发区
企业服务中心</t>
  </si>
  <si>
    <t>82.8</t>
  </si>
  <si>
    <t>明光市文学艺术界联合会</t>
  </si>
  <si>
    <t>82.2</t>
  </si>
  <si>
    <t>明光市张八岭镇
所属综合性机构</t>
  </si>
  <si>
    <t>83.2</t>
  </si>
  <si>
    <t>80.2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</si>
</sst>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3"/>
  <sheetViews>
    <sheetView tabSelected="1" zoomScale="84" zoomScaleNormal="84" workbookViewId="0">
      <selection activeCell="T5" sqref="T5"/>
    </sheetView>
  </sheetViews>
  <sheetFormatPr defaultColWidth="9" defaultRowHeight="35" customHeight="1"/>
  <cols>
    <col min="1" max="1" width="4.75" style="3" customWidth="1"/>
    <col min="2" max="2" width="23.8" style="3" customWidth="1"/>
    <col min="3" max="3" width="9.25" style="3" customWidth="1"/>
    <col min="4" max="4" width="9" style="3"/>
    <col min="5" max="5" width="12.875" style="3" customWidth="1"/>
    <col min="6" max="6" width="7.875" style="3" customWidth="1"/>
    <col min="7" max="7" width="6.625" style="4" customWidth="1"/>
    <col min="8" max="8" width="12.375" style="4" customWidth="1"/>
    <col min="9" max="9" width="7.125" style="4" customWidth="1"/>
    <col min="10" max="10" width="7.25" style="4" customWidth="1"/>
    <col min="11" max="11" width="15.0333333333333" style="4" customWidth="1"/>
    <col min="12" max="12" width="14.8833333333333" style="4" customWidth="1"/>
    <col min="13" max="13" width="9.5" style="4" customWidth="1"/>
    <col min="14" max="14" width="12.125" style="5" customWidth="1"/>
    <col min="15" max="15" width="9" style="5"/>
    <col min="16" max="16" width="8.33333333333333" style="5" customWidth="1"/>
    <col min="17" max="17" width="9.21666666666667" style="5" customWidth="1"/>
    <col min="18" max="18" width="9.375" style="5" customWidth="1"/>
    <col min="19" max="16384" width="9" style="3"/>
  </cols>
  <sheetData>
    <row r="1" ht="54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5"/>
      <c r="O1" s="15"/>
      <c r="P1" s="15"/>
      <c r="Q1" s="15"/>
      <c r="R1" s="15"/>
    </row>
    <row r="2" s="1" customFormat="1" ht="36" customHeight="1" spans="1:18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6" t="s">
        <v>14</v>
      </c>
      <c r="O2" s="17" t="s">
        <v>15</v>
      </c>
      <c r="P2" s="16" t="s">
        <v>16</v>
      </c>
      <c r="Q2" s="16" t="s">
        <v>17</v>
      </c>
      <c r="R2" s="23" t="s">
        <v>18</v>
      </c>
    </row>
    <row r="3" customHeight="1" spans="1:18">
      <c r="A3" s="9">
        <v>1</v>
      </c>
      <c r="B3" s="10" t="s">
        <v>19</v>
      </c>
      <c r="C3" s="10" t="s">
        <v>20</v>
      </c>
      <c r="D3" s="10" t="str">
        <f>"202202"</f>
        <v>202202</v>
      </c>
      <c r="E3" s="10" t="str">
        <f>"994202200307"</f>
        <v>994202200307</v>
      </c>
      <c r="F3" s="10" t="str">
        <f>"吕荟"</f>
        <v>吕荟</v>
      </c>
      <c r="G3" s="10" t="str">
        <f>"女"</f>
        <v>女</v>
      </c>
      <c r="H3" s="10" t="str">
        <f>"1997-08-09"</f>
        <v>1997-08-09</v>
      </c>
      <c r="I3" s="10" t="str">
        <f>"本科"</f>
        <v>本科</v>
      </c>
      <c r="J3" s="10" t="str">
        <f>"学士"</f>
        <v>学士</v>
      </c>
      <c r="K3" s="10" t="str">
        <f>"滁州学院"</f>
        <v>滁州学院</v>
      </c>
      <c r="L3" s="10" t="str">
        <f>"物联网工程"</f>
        <v>物联网工程</v>
      </c>
      <c r="M3" s="10" t="str">
        <f>"2019-06"</f>
        <v>2019-06</v>
      </c>
      <c r="N3" s="18">
        <v>96.6</v>
      </c>
      <c r="O3" s="18">
        <v>112.5</v>
      </c>
      <c r="P3" s="18">
        <v>69.7</v>
      </c>
      <c r="Q3" s="18" t="s">
        <v>21</v>
      </c>
      <c r="R3" s="18">
        <v>76.05</v>
      </c>
    </row>
    <row r="4" customHeight="1" spans="1:18">
      <c r="A4" s="9">
        <v>2</v>
      </c>
      <c r="B4" s="11" t="s">
        <v>22</v>
      </c>
      <c r="C4" s="10" t="s">
        <v>20</v>
      </c>
      <c r="D4" s="10">
        <v>202204</v>
      </c>
      <c r="E4" s="26" t="s">
        <v>23</v>
      </c>
      <c r="F4" s="10" t="s">
        <v>24</v>
      </c>
      <c r="G4" s="10" t="str">
        <f>"男"</f>
        <v>男</v>
      </c>
      <c r="H4" s="10" t="str">
        <f>"1996-02-04"</f>
        <v>1996-02-04</v>
      </c>
      <c r="I4" s="10" t="str">
        <f>"本科"</f>
        <v>本科</v>
      </c>
      <c r="J4" s="10" t="str">
        <f>"学士"</f>
        <v>学士</v>
      </c>
      <c r="K4" s="10" t="s">
        <v>25</v>
      </c>
      <c r="L4" s="10" t="s">
        <v>26</v>
      </c>
      <c r="M4" s="13" t="s">
        <v>27</v>
      </c>
      <c r="N4" s="19">
        <v>103.1</v>
      </c>
      <c r="O4" s="19">
        <v>106.5</v>
      </c>
      <c r="P4" s="19">
        <v>69.8666666666667</v>
      </c>
      <c r="Q4" s="24" t="s">
        <v>28</v>
      </c>
      <c r="R4" s="25">
        <f>P4*0.5+Q4*0.5</f>
        <v>71.7333333333333</v>
      </c>
    </row>
    <row r="5" customHeight="1" spans="1:18">
      <c r="A5" s="9">
        <v>3</v>
      </c>
      <c r="B5" s="10" t="s">
        <v>29</v>
      </c>
      <c r="C5" s="10" t="s">
        <v>30</v>
      </c>
      <c r="D5" s="10" t="str">
        <f>"202206"</f>
        <v>202206</v>
      </c>
      <c r="E5" s="10" t="str">
        <f>"994202200724"</f>
        <v>994202200724</v>
      </c>
      <c r="F5" s="10" t="str">
        <f>"丁悦"</f>
        <v>丁悦</v>
      </c>
      <c r="G5" s="10" t="str">
        <f>"女"</f>
        <v>女</v>
      </c>
      <c r="H5" s="10" t="str">
        <f>"2000-08-17"</f>
        <v>2000-08-17</v>
      </c>
      <c r="I5" s="10" t="str">
        <f t="shared" ref="I5:I16" si="0">"本科"</f>
        <v>本科</v>
      </c>
      <c r="J5" s="10" t="str">
        <f t="shared" ref="J5:J14" si="1">"学士"</f>
        <v>学士</v>
      </c>
      <c r="K5" s="10" t="str">
        <f>"重庆工商大学"</f>
        <v>重庆工商大学</v>
      </c>
      <c r="L5" s="10" t="str">
        <f>"法学"</f>
        <v>法学</v>
      </c>
      <c r="M5" s="10" t="str">
        <f>"2020-06"</f>
        <v>2020-06</v>
      </c>
      <c r="N5" s="18">
        <v>108.7</v>
      </c>
      <c r="O5" s="18">
        <v>116.5</v>
      </c>
      <c r="P5" s="18">
        <v>75.0666666666667</v>
      </c>
      <c r="Q5" s="18" t="s">
        <v>31</v>
      </c>
      <c r="R5" s="18">
        <v>76.0333333333333</v>
      </c>
    </row>
    <row r="6" customHeight="1" spans="1:18">
      <c r="A6" s="9">
        <v>4</v>
      </c>
      <c r="B6" s="11" t="s">
        <v>32</v>
      </c>
      <c r="C6" s="10" t="s">
        <v>30</v>
      </c>
      <c r="D6" s="10" t="str">
        <f>"202207"</f>
        <v>202207</v>
      </c>
      <c r="E6" s="10" t="str">
        <f>"994202200816"</f>
        <v>994202200816</v>
      </c>
      <c r="F6" s="10" t="str">
        <f>"王道胜"</f>
        <v>王道胜</v>
      </c>
      <c r="G6" s="10" t="str">
        <f>"男"</f>
        <v>男</v>
      </c>
      <c r="H6" s="10" t="str">
        <f>"1992-05-01"</f>
        <v>1992-05-01</v>
      </c>
      <c r="I6" s="10" t="str">
        <f t="shared" si="0"/>
        <v>本科</v>
      </c>
      <c r="J6" s="10" t="str">
        <f t="shared" si="1"/>
        <v>学士</v>
      </c>
      <c r="K6" s="10" t="str">
        <f>"南京晓庄学院"</f>
        <v>南京晓庄学院</v>
      </c>
      <c r="L6" s="10" t="str">
        <f>"广播电视新闻学"</f>
        <v>广播电视新闻学</v>
      </c>
      <c r="M6" s="10" t="str">
        <f>"2016-06"</f>
        <v>2016-06</v>
      </c>
      <c r="N6" s="18">
        <v>114</v>
      </c>
      <c r="O6" s="18">
        <v>105</v>
      </c>
      <c r="P6" s="18">
        <v>73</v>
      </c>
      <c r="Q6" s="18" t="s">
        <v>33</v>
      </c>
      <c r="R6" s="18">
        <v>77</v>
      </c>
    </row>
    <row r="7" customHeight="1" spans="1:18">
      <c r="A7" s="9">
        <v>5</v>
      </c>
      <c r="B7" s="11" t="s">
        <v>34</v>
      </c>
      <c r="C7" s="10" t="s">
        <v>30</v>
      </c>
      <c r="D7" s="10" t="str">
        <f>"202208"</f>
        <v>202208</v>
      </c>
      <c r="E7" s="10" t="str">
        <f>"994202200905"</f>
        <v>994202200905</v>
      </c>
      <c r="F7" s="10" t="str">
        <f>"魏舒婷"</f>
        <v>魏舒婷</v>
      </c>
      <c r="G7" s="10" t="str">
        <f>"女"</f>
        <v>女</v>
      </c>
      <c r="H7" s="10" t="str">
        <f>"1989-09-02"</f>
        <v>1989-09-02</v>
      </c>
      <c r="I7" s="10" t="str">
        <f t="shared" si="0"/>
        <v>本科</v>
      </c>
      <c r="J7" s="10" t="str">
        <f t="shared" si="1"/>
        <v>学士</v>
      </c>
      <c r="K7" s="10" t="str">
        <f>"蚌埠学院"</f>
        <v>蚌埠学院</v>
      </c>
      <c r="L7" s="10" t="str">
        <f>"汉语言文学"</f>
        <v>汉语言文学</v>
      </c>
      <c r="M7" s="10" t="str">
        <f t="shared" ref="M7:M12" si="2">"2021-07"</f>
        <v>2021-07</v>
      </c>
      <c r="N7" s="18">
        <v>105</v>
      </c>
      <c r="O7" s="18">
        <v>111</v>
      </c>
      <c r="P7" s="18">
        <v>72</v>
      </c>
      <c r="Q7" s="18" t="s">
        <v>35</v>
      </c>
      <c r="R7" s="18">
        <v>76.8</v>
      </c>
    </row>
    <row r="8" customHeight="1" spans="1:18">
      <c r="A8" s="9">
        <v>6</v>
      </c>
      <c r="B8" s="10" t="s">
        <v>36</v>
      </c>
      <c r="C8" s="10" t="s">
        <v>20</v>
      </c>
      <c r="D8" s="10" t="str">
        <f>"202209"</f>
        <v>202209</v>
      </c>
      <c r="E8" s="10" t="str">
        <f>"994202200917"</f>
        <v>994202200917</v>
      </c>
      <c r="F8" s="10" t="str">
        <f>"庞然"</f>
        <v>庞然</v>
      </c>
      <c r="G8" s="10" t="str">
        <f>"男"</f>
        <v>男</v>
      </c>
      <c r="H8" s="10" t="str">
        <f>"1993-10-20"</f>
        <v>1993-10-20</v>
      </c>
      <c r="I8" s="10" t="str">
        <f t="shared" si="0"/>
        <v>本科</v>
      </c>
      <c r="J8" s="10" t="str">
        <f t="shared" si="1"/>
        <v>学士</v>
      </c>
      <c r="K8" s="11" t="str">
        <f>"安徽文达信息
工程学院"</f>
        <v>安徽文达信息
工程学院</v>
      </c>
      <c r="L8" s="10" t="str">
        <f>"汽车服务工程"</f>
        <v>汽车服务工程</v>
      </c>
      <c r="M8" s="10" t="str">
        <f>"2017-07"</f>
        <v>2017-07</v>
      </c>
      <c r="N8" s="18">
        <v>106.3</v>
      </c>
      <c r="O8" s="18">
        <v>115.5</v>
      </c>
      <c r="P8" s="18">
        <v>73.9333333333333</v>
      </c>
      <c r="Q8" s="18" t="s">
        <v>33</v>
      </c>
      <c r="R8" s="18">
        <v>77.4666666666667</v>
      </c>
    </row>
    <row r="9" customHeight="1" spans="1:18">
      <c r="A9" s="9">
        <v>7</v>
      </c>
      <c r="B9" s="10" t="s">
        <v>36</v>
      </c>
      <c r="C9" s="10" t="s">
        <v>20</v>
      </c>
      <c r="D9" s="10" t="str">
        <f>"202210"</f>
        <v>202210</v>
      </c>
      <c r="E9" s="10" t="str">
        <f>"994202201119"</f>
        <v>994202201119</v>
      </c>
      <c r="F9" s="10" t="str">
        <f>"左晶晶"</f>
        <v>左晶晶</v>
      </c>
      <c r="G9" s="10" t="str">
        <f>"女"</f>
        <v>女</v>
      </c>
      <c r="H9" s="10" t="str">
        <f>"1998-09-06"</f>
        <v>1998-09-06</v>
      </c>
      <c r="I9" s="10" t="str">
        <f t="shared" si="0"/>
        <v>本科</v>
      </c>
      <c r="J9" s="10" t="str">
        <f t="shared" si="1"/>
        <v>学士</v>
      </c>
      <c r="K9" s="10" t="str">
        <f>"安徽财经大学"</f>
        <v>安徽财经大学</v>
      </c>
      <c r="L9" s="10" t="str">
        <f>"会计学"</f>
        <v>会计学</v>
      </c>
      <c r="M9" s="10" t="str">
        <f t="shared" si="2"/>
        <v>2021-07</v>
      </c>
      <c r="N9" s="18">
        <v>112.7</v>
      </c>
      <c r="O9" s="18">
        <v>114</v>
      </c>
      <c r="P9" s="18">
        <v>75.5666666666667</v>
      </c>
      <c r="Q9" s="18" t="s">
        <v>37</v>
      </c>
      <c r="R9" s="18">
        <v>75.6833333333333</v>
      </c>
    </row>
    <row r="10" customHeight="1" spans="1:18">
      <c r="A10" s="9">
        <v>8</v>
      </c>
      <c r="B10" s="11" t="s">
        <v>38</v>
      </c>
      <c r="C10" s="10" t="s">
        <v>20</v>
      </c>
      <c r="D10" s="10" t="str">
        <f>"202211"</f>
        <v>202211</v>
      </c>
      <c r="E10" s="10" t="str">
        <f>"994202201206"</f>
        <v>994202201206</v>
      </c>
      <c r="F10" s="10" t="str">
        <f>"尹炬峰"</f>
        <v>尹炬峰</v>
      </c>
      <c r="G10" s="10" t="str">
        <f>"男"</f>
        <v>男</v>
      </c>
      <c r="H10" s="10" t="str">
        <f>"1993-11-02"</f>
        <v>1993-11-02</v>
      </c>
      <c r="I10" s="10" t="str">
        <f t="shared" si="0"/>
        <v>本科</v>
      </c>
      <c r="J10" s="10" t="str">
        <f t="shared" si="1"/>
        <v>学士</v>
      </c>
      <c r="K10" s="10" t="str">
        <f>"浙江财经大学"</f>
        <v>浙江财经大学</v>
      </c>
      <c r="L10" s="10" t="str">
        <f>"信用管理"</f>
        <v>信用管理</v>
      </c>
      <c r="M10" s="10" t="str">
        <f>"2017-06"</f>
        <v>2017-06</v>
      </c>
      <c r="N10" s="18">
        <v>116.4</v>
      </c>
      <c r="O10" s="18">
        <v>113.5</v>
      </c>
      <c r="P10" s="18">
        <v>76.6333333333333</v>
      </c>
      <c r="Q10" s="18" t="s">
        <v>39</v>
      </c>
      <c r="R10" s="18">
        <v>76.3166666666667</v>
      </c>
    </row>
    <row r="11" customHeight="1" spans="1:18">
      <c r="A11" s="9">
        <v>9</v>
      </c>
      <c r="B11" s="10" t="s">
        <v>40</v>
      </c>
      <c r="C11" s="10" t="s">
        <v>20</v>
      </c>
      <c r="D11" s="10" t="str">
        <f>"202212"</f>
        <v>202212</v>
      </c>
      <c r="E11" s="10" t="str">
        <f>"994202201314"</f>
        <v>994202201314</v>
      </c>
      <c r="F11" s="10" t="str">
        <f>"张萌"</f>
        <v>张萌</v>
      </c>
      <c r="G11" s="10" t="str">
        <f>"女"</f>
        <v>女</v>
      </c>
      <c r="H11" s="10" t="str">
        <f>"1999-10-08"</f>
        <v>1999-10-08</v>
      </c>
      <c r="I11" s="10" t="str">
        <f t="shared" si="0"/>
        <v>本科</v>
      </c>
      <c r="J11" s="10" t="str">
        <f t="shared" si="1"/>
        <v>学士</v>
      </c>
      <c r="K11" s="10" t="str">
        <f>"安徽财经大学"</f>
        <v>安徽财经大学</v>
      </c>
      <c r="L11" s="10" t="str">
        <f>"会计学"</f>
        <v>会计学</v>
      </c>
      <c r="M11" s="10" t="str">
        <f>"2021-06"</f>
        <v>2021-06</v>
      </c>
      <c r="N11" s="18">
        <v>105.6</v>
      </c>
      <c r="O11" s="18">
        <v>113.5</v>
      </c>
      <c r="P11" s="18">
        <v>73.0333333333333</v>
      </c>
      <c r="Q11" s="18" t="s">
        <v>41</v>
      </c>
      <c r="R11" s="18">
        <v>76.1166666666667</v>
      </c>
    </row>
    <row r="12" customHeight="1" spans="1:18">
      <c r="A12" s="9">
        <v>10</v>
      </c>
      <c r="B12" s="10" t="s">
        <v>42</v>
      </c>
      <c r="C12" s="10" t="s">
        <v>20</v>
      </c>
      <c r="D12" s="10" t="str">
        <f>"202213"</f>
        <v>202213</v>
      </c>
      <c r="E12" s="10" t="str">
        <f>"994202201405"</f>
        <v>994202201405</v>
      </c>
      <c r="F12" s="10" t="str">
        <f>"邢新雨"</f>
        <v>邢新雨</v>
      </c>
      <c r="G12" s="10" t="str">
        <f>"女"</f>
        <v>女</v>
      </c>
      <c r="H12" s="10" t="str">
        <f>"1999-08-19"</f>
        <v>1999-08-19</v>
      </c>
      <c r="I12" s="10" t="str">
        <f t="shared" si="0"/>
        <v>本科</v>
      </c>
      <c r="J12" s="10" t="str">
        <f t="shared" si="1"/>
        <v>学士</v>
      </c>
      <c r="K12" s="10" t="str">
        <f>"安徽财经大学"</f>
        <v>安徽财经大学</v>
      </c>
      <c r="L12" s="10" t="str">
        <f>"金融学"</f>
        <v>金融学</v>
      </c>
      <c r="M12" s="10" t="str">
        <f t="shared" si="2"/>
        <v>2021-07</v>
      </c>
      <c r="N12" s="18">
        <v>107.5</v>
      </c>
      <c r="O12" s="18">
        <v>120.5</v>
      </c>
      <c r="P12" s="18">
        <v>76</v>
      </c>
      <c r="Q12" s="18" t="s">
        <v>43</v>
      </c>
      <c r="R12" s="18">
        <v>77.5</v>
      </c>
    </row>
    <row r="13" s="2" customFormat="1" customHeight="1" spans="1:18">
      <c r="A13" s="9">
        <v>11</v>
      </c>
      <c r="B13" s="12" t="s">
        <v>44</v>
      </c>
      <c r="C13" s="13" t="s">
        <v>30</v>
      </c>
      <c r="D13" s="13">
        <v>202214</v>
      </c>
      <c r="E13" s="27" t="s">
        <v>45</v>
      </c>
      <c r="F13" s="13" t="s">
        <v>46</v>
      </c>
      <c r="G13" s="13" t="str">
        <f>"女"</f>
        <v>女</v>
      </c>
      <c r="H13" s="13" t="s">
        <v>47</v>
      </c>
      <c r="I13" s="10" t="str">
        <f t="shared" si="0"/>
        <v>本科</v>
      </c>
      <c r="J13" s="10" t="str">
        <f t="shared" si="1"/>
        <v>学士</v>
      </c>
      <c r="K13" s="13" t="s">
        <v>48</v>
      </c>
      <c r="L13" s="13" t="s">
        <v>49</v>
      </c>
      <c r="M13" s="10" t="str">
        <f>"2017-06"</f>
        <v>2017-06</v>
      </c>
      <c r="N13" s="20">
        <v>110.2</v>
      </c>
      <c r="O13" s="20">
        <v>113.5</v>
      </c>
      <c r="P13" s="20">
        <v>74.5666666666667</v>
      </c>
      <c r="Q13" s="20" t="s">
        <v>50</v>
      </c>
      <c r="R13" s="20">
        <v>77.4833333333333</v>
      </c>
    </row>
    <row r="14" customHeight="1" spans="1:18">
      <c r="A14" s="9">
        <v>12</v>
      </c>
      <c r="B14" s="10" t="s">
        <v>51</v>
      </c>
      <c r="C14" s="10" t="s">
        <v>30</v>
      </c>
      <c r="D14" s="10" t="str">
        <f>"202215"</f>
        <v>202215</v>
      </c>
      <c r="E14" s="10" t="str">
        <f>"994202201802"</f>
        <v>994202201802</v>
      </c>
      <c r="F14" s="10" t="str">
        <f>"李倩瑶"</f>
        <v>李倩瑶</v>
      </c>
      <c r="G14" s="10" t="str">
        <f>"女"</f>
        <v>女</v>
      </c>
      <c r="H14" s="10" t="str">
        <f>"1990-10-20"</f>
        <v>1990-10-20</v>
      </c>
      <c r="I14" s="10" t="str">
        <f t="shared" si="0"/>
        <v>本科</v>
      </c>
      <c r="J14" s="10" t="str">
        <f t="shared" si="1"/>
        <v>学士</v>
      </c>
      <c r="K14" s="10" t="str">
        <f>"安徽农业大学"</f>
        <v>安徽农业大学</v>
      </c>
      <c r="L14" s="10" t="str">
        <f>"社会工作"</f>
        <v>社会工作</v>
      </c>
      <c r="M14" s="10" t="str">
        <f>"2014-07"</f>
        <v>2014-07</v>
      </c>
      <c r="N14" s="20">
        <v>107.2</v>
      </c>
      <c r="O14" s="20">
        <v>108.5</v>
      </c>
      <c r="P14" s="20">
        <v>71.9</v>
      </c>
      <c r="Q14" s="20" t="s">
        <v>21</v>
      </c>
      <c r="R14" s="20">
        <v>77.15</v>
      </c>
    </row>
    <row r="15" customHeight="1" spans="1:18">
      <c r="A15" s="9">
        <v>13</v>
      </c>
      <c r="B15" s="10" t="s">
        <v>52</v>
      </c>
      <c r="C15" s="10" t="s">
        <v>30</v>
      </c>
      <c r="D15" s="10" t="str">
        <f>"202216"</f>
        <v>202216</v>
      </c>
      <c r="E15" s="10" t="str">
        <f>"994202201823"</f>
        <v>994202201823</v>
      </c>
      <c r="F15" s="10" t="str">
        <f>"钱锦"</f>
        <v>钱锦</v>
      </c>
      <c r="G15" s="10" t="str">
        <f t="shared" ref="G15:G20" si="3">"男"</f>
        <v>男</v>
      </c>
      <c r="H15" s="10" t="str">
        <f>"1997-04-18"</f>
        <v>1997-04-18</v>
      </c>
      <c r="I15" s="10" t="str">
        <f t="shared" si="0"/>
        <v>本科</v>
      </c>
      <c r="J15" s="10" t="str">
        <f t="shared" ref="J15:J20" si="4">"无"</f>
        <v>无</v>
      </c>
      <c r="K15" s="10" t="str">
        <f>"安徽科技学院"</f>
        <v>安徽科技学院</v>
      </c>
      <c r="L15" s="10" t="str">
        <f>"汉语言文学"</f>
        <v>汉语言文学</v>
      </c>
      <c r="M15" s="10" t="str">
        <f>"2022-07"</f>
        <v>2022-07</v>
      </c>
      <c r="N15" s="20">
        <v>112.8</v>
      </c>
      <c r="O15" s="20">
        <v>105.5</v>
      </c>
      <c r="P15" s="18">
        <v>72.7666666666667</v>
      </c>
      <c r="Q15" s="18" t="s">
        <v>53</v>
      </c>
      <c r="R15" s="18">
        <v>76.6833333333333</v>
      </c>
    </row>
    <row r="16" customHeight="1" spans="1:18">
      <c r="A16" s="9">
        <v>14</v>
      </c>
      <c r="B16" s="10" t="s">
        <v>54</v>
      </c>
      <c r="C16" s="10" t="s">
        <v>30</v>
      </c>
      <c r="D16" s="10" t="str">
        <f>"202217"</f>
        <v>202217</v>
      </c>
      <c r="E16" s="10" t="str">
        <f>"994202201915"</f>
        <v>994202201915</v>
      </c>
      <c r="F16" s="10" t="str">
        <f>"李峥嵘"</f>
        <v>李峥嵘</v>
      </c>
      <c r="G16" s="10" t="str">
        <f t="shared" ref="G16:G18" si="5">"女"</f>
        <v>女</v>
      </c>
      <c r="H16" s="10" t="str">
        <f>"1996-10-25"</f>
        <v>1996-10-25</v>
      </c>
      <c r="I16" s="10" t="str">
        <f t="shared" si="0"/>
        <v>本科</v>
      </c>
      <c r="J16" s="10" t="str">
        <f>"学士"</f>
        <v>学士</v>
      </c>
      <c r="K16" s="10" t="str">
        <f>"长安大学"</f>
        <v>长安大学</v>
      </c>
      <c r="L16" s="10" t="str">
        <f>"财务管理"</f>
        <v>财务管理</v>
      </c>
      <c r="M16" s="10" t="str">
        <f>"2019-06"</f>
        <v>2019-06</v>
      </c>
      <c r="N16" s="20">
        <v>115.4</v>
      </c>
      <c r="O16" s="20">
        <v>114.5</v>
      </c>
      <c r="P16" s="20">
        <v>76.6333333333333</v>
      </c>
      <c r="Q16" s="20" t="s">
        <v>55</v>
      </c>
      <c r="R16" s="20">
        <v>79.6166666666667</v>
      </c>
    </row>
    <row r="17" customHeight="1" spans="1:18">
      <c r="A17" s="9">
        <v>15</v>
      </c>
      <c r="B17" s="10" t="s">
        <v>56</v>
      </c>
      <c r="C17" s="10" t="s">
        <v>20</v>
      </c>
      <c r="D17" s="10" t="str">
        <f>"202218"</f>
        <v>202218</v>
      </c>
      <c r="E17" s="10" t="str">
        <f>"994202202026"</f>
        <v>994202202026</v>
      </c>
      <c r="F17" s="10" t="str">
        <f>"倪颖"</f>
        <v>倪颖</v>
      </c>
      <c r="G17" s="10" t="str">
        <f t="shared" si="5"/>
        <v>女</v>
      </c>
      <c r="H17" s="10" t="str">
        <f>"1993-06-13"</f>
        <v>1993-06-13</v>
      </c>
      <c r="I17" s="10" t="str">
        <f>"专科"</f>
        <v>专科</v>
      </c>
      <c r="J17" s="10" t="str">
        <f t="shared" si="4"/>
        <v>无</v>
      </c>
      <c r="K17" s="10" t="str">
        <f>"池州学院"</f>
        <v>池州学院</v>
      </c>
      <c r="L17" s="10" t="str">
        <f>"会计电算化"</f>
        <v>会计电算化</v>
      </c>
      <c r="M17" s="10" t="str">
        <f>"2014-06"</f>
        <v>2014-06</v>
      </c>
      <c r="N17" s="20">
        <v>105.6</v>
      </c>
      <c r="O17" s="20">
        <v>99.5</v>
      </c>
      <c r="P17" s="20">
        <v>68.3666666666667</v>
      </c>
      <c r="Q17" s="20" t="s">
        <v>53</v>
      </c>
      <c r="R17" s="20">
        <v>74.4833333333333</v>
      </c>
    </row>
    <row r="18" customHeight="1" spans="1:18">
      <c r="A18" s="9">
        <v>16</v>
      </c>
      <c r="B18" s="10" t="s">
        <v>56</v>
      </c>
      <c r="C18" s="10" t="s">
        <v>20</v>
      </c>
      <c r="D18" s="10" t="str">
        <f>"202218"</f>
        <v>202218</v>
      </c>
      <c r="E18" s="10" t="str">
        <f>"994202202002"</f>
        <v>994202202002</v>
      </c>
      <c r="F18" s="10" t="str">
        <f>"付小如"</f>
        <v>付小如</v>
      </c>
      <c r="G18" s="10" t="str">
        <f t="shared" si="5"/>
        <v>女</v>
      </c>
      <c r="H18" s="10" t="str">
        <f>"1994-02-02"</f>
        <v>1994-02-02</v>
      </c>
      <c r="I18" s="10" t="str">
        <f>"专科"</f>
        <v>专科</v>
      </c>
      <c r="J18" s="10" t="str">
        <f t="shared" si="4"/>
        <v>无</v>
      </c>
      <c r="K18" s="11" t="str">
        <f>"安徽国际商务
职业技术学院"</f>
        <v>安徽国际商务
职业技术学院</v>
      </c>
      <c r="L18" s="10" t="str">
        <f>"会计"</f>
        <v>会计</v>
      </c>
      <c r="M18" s="10" t="str">
        <f>"2015-06"</f>
        <v>2015-06</v>
      </c>
      <c r="N18" s="20">
        <v>98.1</v>
      </c>
      <c r="O18" s="20">
        <v>104.5</v>
      </c>
      <c r="P18" s="20">
        <v>67.5333333333333</v>
      </c>
      <c r="Q18" s="20" t="s">
        <v>53</v>
      </c>
      <c r="R18" s="20">
        <v>74.0666666666667</v>
      </c>
    </row>
    <row r="19" customHeight="1" spans="1:18">
      <c r="A19" s="9">
        <v>17</v>
      </c>
      <c r="B19" s="10" t="s">
        <v>57</v>
      </c>
      <c r="C19" s="10" t="s">
        <v>20</v>
      </c>
      <c r="D19" s="10" t="str">
        <f>"202219"</f>
        <v>202219</v>
      </c>
      <c r="E19" s="10" t="str">
        <f>"994202202217"</f>
        <v>994202202217</v>
      </c>
      <c r="F19" s="10" t="str">
        <f>"章京"</f>
        <v>章京</v>
      </c>
      <c r="G19" s="10" t="str">
        <f t="shared" si="3"/>
        <v>男</v>
      </c>
      <c r="H19" s="10" t="str">
        <f>"1987-02-09"</f>
        <v>1987-02-09</v>
      </c>
      <c r="I19" s="10" t="str">
        <f t="shared" ref="I19:I25" si="6">"本科"</f>
        <v>本科</v>
      </c>
      <c r="J19" s="10" t="str">
        <f t="shared" si="4"/>
        <v>无</v>
      </c>
      <c r="K19" s="10" t="s">
        <v>58</v>
      </c>
      <c r="L19" s="10" t="str">
        <f>"网络工程"</f>
        <v>网络工程</v>
      </c>
      <c r="M19" s="10" t="str">
        <f>"2016-01"</f>
        <v>2016-01</v>
      </c>
      <c r="N19" s="20">
        <v>113.7</v>
      </c>
      <c r="O19" s="20">
        <v>105.5</v>
      </c>
      <c r="P19" s="18">
        <v>73.0666666666667</v>
      </c>
      <c r="Q19" s="18" t="s">
        <v>53</v>
      </c>
      <c r="R19" s="18">
        <v>76.8333333333333</v>
      </c>
    </row>
    <row r="20" customHeight="1" spans="1:18">
      <c r="A20" s="9">
        <v>18</v>
      </c>
      <c r="B20" s="11" t="s">
        <v>59</v>
      </c>
      <c r="C20" s="10" t="s">
        <v>20</v>
      </c>
      <c r="D20" s="10" t="str">
        <f>"202220"</f>
        <v>202220</v>
      </c>
      <c r="E20" s="10" t="str">
        <f>"994202202227"</f>
        <v>994202202227</v>
      </c>
      <c r="F20" s="10" t="str">
        <f>"宋鸿星"</f>
        <v>宋鸿星</v>
      </c>
      <c r="G20" s="10" t="str">
        <f t="shared" si="3"/>
        <v>男</v>
      </c>
      <c r="H20" s="10" t="str">
        <f>"1992-11-25"</f>
        <v>1992-11-25</v>
      </c>
      <c r="I20" s="10" t="str">
        <f t="shared" si="6"/>
        <v>本科</v>
      </c>
      <c r="J20" s="10" t="str">
        <f t="shared" si="4"/>
        <v>无</v>
      </c>
      <c r="K20" s="10" t="str">
        <f>"青岛理工大学"</f>
        <v>青岛理工大学</v>
      </c>
      <c r="L20" s="11" t="str">
        <f>"建筑环境
与设备工程"</f>
        <v>建筑环境
与设备工程</v>
      </c>
      <c r="M20" s="10" t="str">
        <f>"2018-07"</f>
        <v>2018-07</v>
      </c>
      <c r="N20" s="20">
        <v>103.3</v>
      </c>
      <c r="O20" s="20">
        <v>111.5</v>
      </c>
      <c r="P20" s="18">
        <v>71.6</v>
      </c>
      <c r="Q20" s="18" t="s">
        <v>60</v>
      </c>
      <c r="R20" s="18">
        <v>75.7</v>
      </c>
    </row>
    <row r="21" customHeight="1" spans="1:18">
      <c r="A21" s="9">
        <v>19</v>
      </c>
      <c r="B21" s="11" t="s">
        <v>59</v>
      </c>
      <c r="C21" s="10" t="s">
        <v>30</v>
      </c>
      <c r="D21" s="10" t="str">
        <f>"202221"</f>
        <v>202221</v>
      </c>
      <c r="E21" s="10" t="str">
        <f>"994202202321"</f>
        <v>994202202321</v>
      </c>
      <c r="F21" s="10" t="str">
        <f>"刘佳佳"</f>
        <v>刘佳佳</v>
      </c>
      <c r="G21" s="10" t="str">
        <f t="shared" ref="G21:G24" si="7">"女"</f>
        <v>女</v>
      </c>
      <c r="H21" s="10" t="str">
        <f>"1998-06-01"</f>
        <v>1998-06-01</v>
      </c>
      <c r="I21" s="10" t="str">
        <f t="shared" si="6"/>
        <v>本科</v>
      </c>
      <c r="J21" s="10" t="str">
        <f t="shared" ref="J21:J32" si="8">"学士"</f>
        <v>学士</v>
      </c>
      <c r="K21" s="11" t="str">
        <f>"河海大学
文天学院"</f>
        <v>河海大学
文天学院</v>
      </c>
      <c r="L21" s="10" t="str">
        <f>"工程造价"</f>
        <v>工程造价</v>
      </c>
      <c r="M21" s="10" t="str">
        <f>"2019-06"</f>
        <v>2019-06</v>
      </c>
      <c r="N21" s="20">
        <v>98.1</v>
      </c>
      <c r="O21" s="20">
        <v>126.5</v>
      </c>
      <c r="P21" s="20">
        <v>74.8666666666667</v>
      </c>
      <c r="Q21" s="20" t="s">
        <v>61</v>
      </c>
      <c r="R21" s="20">
        <v>79.8333333333333</v>
      </c>
    </row>
    <row r="22" customHeight="1" spans="1:18">
      <c r="A22" s="9">
        <v>20</v>
      </c>
      <c r="B22" s="11" t="s">
        <v>62</v>
      </c>
      <c r="C22" s="10" t="s">
        <v>20</v>
      </c>
      <c r="D22" s="10" t="str">
        <f>"202223"</f>
        <v>202223</v>
      </c>
      <c r="E22" s="10" t="str">
        <f>"994202202508"</f>
        <v>994202202508</v>
      </c>
      <c r="F22" s="10" t="str">
        <f>"何玉洁"</f>
        <v>何玉洁</v>
      </c>
      <c r="G22" s="10" t="str">
        <f t="shared" si="7"/>
        <v>女</v>
      </c>
      <c r="H22" s="10" t="str">
        <f>"1993-08-23"</f>
        <v>1993-08-23</v>
      </c>
      <c r="I22" s="10" t="str">
        <f t="shared" si="6"/>
        <v>本科</v>
      </c>
      <c r="J22" s="10" t="str">
        <f t="shared" si="8"/>
        <v>学士</v>
      </c>
      <c r="K22" s="10" t="str">
        <f>"中南林业科技大学"</f>
        <v>中南林业科技大学</v>
      </c>
      <c r="L22" s="10" t="str">
        <f>"会计学"</f>
        <v>会计学</v>
      </c>
      <c r="M22" s="10" t="str">
        <f>"2015-06"</f>
        <v>2015-06</v>
      </c>
      <c r="N22" s="20">
        <v>108.9</v>
      </c>
      <c r="O22" s="20">
        <v>109.5</v>
      </c>
      <c r="P22" s="20">
        <v>72.8</v>
      </c>
      <c r="Q22" s="20" t="s">
        <v>63</v>
      </c>
      <c r="R22" s="20">
        <v>78.9</v>
      </c>
    </row>
    <row r="23" customHeight="1" spans="1:18">
      <c r="A23" s="9">
        <v>21</v>
      </c>
      <c r="B23" s="11" t="s">
        <v>64</v>
      </c>
      <c r="C23" s="10" t="s">
        <v>20</v>
      </c>
      <c r="D23" s="10" t="str">
        <f>"202224"</f>
        <v>202224</v>
      </c>
      <c r="E23" s="10" t="str">
        <f>"994202202603"</f>
        <v>994202202603</v>
      </c>
      <c r="F23" s="10" t="str">
        <f>"汪涛"</f>
        <v>汪涛</v>
      </c>
      <c r="G23" s="10" t="str">
        <f>"男"</f>
        <v>男</v>
      </c>
      <c r="H23" s="10" t="str">
        <f>"1993-10-21"</f>
        <v>1993-10-21</v>
      </c>
      <c r="I23" s="10" t="str">
        <f t="shared" si="6"/>
        <v>本科</v>
      </c>
      <c r="J23" s="10" t="str">
        <f t="shared" si="8"/>
        <v>学士</v>
      </c>
      <c r="K23" s="11" t="str">
        <f>"南京财经大学
红山学院"</f>
        <v>南京财经大学
红山学院</v>
      </c>
      <c r="L23" s="10" t="str">
        <f>"会计学"</f>
        <v>会计学</v>
      </c>
      <c r="M23" s="10" t="str">
        <f>"2017-06"</f>
        <v>2017-06</v>
      </c>
      <c r="N23" s="20">
        <v>100.2</v>
      </c>
      <c r="O23" s="20">
        <v>116.5</v>
      </c>
      <c r="P23" s="18">
        <v>72.2333333333333</v>
      </c>
      <c r="Q23" s="18" t="s">
        <v>65</v>
      </c>
      <c r="R23" s="18">
        <v>77.0166666666667</v>
      </c>
    </row>
    <row r="24" customHeight="1" spans="1:18">
      <c r="A24" s="9">
        <v>22</v>
      </c>
      <c r="B24" s="11" t="s">
        <v>66</v>
      </c>
      <c r="C24" s="10" t="s">
        <v>20</v>
      </c>
      <c r="D24" s="10" t="str">
        <f>"202226"</f>
        <v>202226</v>
      </c>
      <c r="E24" s="10" t="str">
        <f>"994202202717"</f>
        <v>994202202717</v>
      </c>
      <c r="F24" s="10" t="str">
        <f>"栾星玥"</f>
        <v>栾星玥</v>
      </c>
      <c r="G24" s="10" t="str">
        <f t="shared" si="7"/>
        <v>女</v>
      </c>
      <c r="H24" s="10" t="str">
        <f>"2000-02-13"</f>
        <v>2000-02-13</v>
      </c>
      <c r="I24" s="10" t="str">
        <f t="shared" si="6"/>
        <v>本科</v>
      </c>
      <c r="J24" s="10" t="str">
        <f t="shared" si="8"/>
        <v>学士</v>
      </c>
      <c r="K24" s="10" t="str">
        <f>"安徽建筑大学"</f>
        <v>安徽建筑大学</v>
      </c>
      <c r="L24" s="10" t="str">
        <f>"工程管理"</f>
        <v>工程管理</v>
      </c>
      <c r="M24" s="10" t="str">
        <f>"2022-07"</f>
        <v>2022-07</v>
      </c>
      <c r="N24" s="20">
        <v>119.1</v>
      </c>
      <c r="O24" s="20">
        <v>111</v>
      </c>
      <c r="P24" s="20">
        <v>76.7</v>
      </c>
      <c r="Q24" s="20" t="s">
        <v>67</v>
      </c>
      <c r="R24" s="20">
        <v>80.95</v>
      </c>
    </row>
    <row r="25" customHeight="1" spans="1:18">
      <c r="A25" s="9">
        <v>23</v>
      </c>
      <c r="B25" s="10" t="s">
        <v>68</v>
      </c>
      <c r="C25" s="10" t="s">
        <v>20</v>
      </c>
      <c r="D25" s="10" t="str">
        <f>"202228"</f>
        <v>202228</v>
      </c>
      <c r="E25" s="10" t="str">
        <f>"994202202916"</f>
        <v>994202202916</v>
      </c>
      <c r="F25" s="10" t="str">
        <f>"干泉"</f>
        <v>干泉</v>
      </c>
      <c r="G25" s="10" t="str">
        <f>"男"</f>
        <v>男</v>
      </c>
      <c r="H25" s="10" t="str">
        <f>"1993-08-03"</f>
        <v>1993-08-03</v>
      </c>
      <c r="I25" s="10" t="str">
        <f t="shared" si="6"/>
        <v>本科</v>
      </c>
      <c r="J25" s="10" t="str">
        <f t="shared" si="8"/>
        <v>学士</v>
      </c>
      <c r="K25" s="10" t="str">
        <f>"无锡太湖学院"</f>
        <v>无锡太湖学院</v>
      </c>
      <c r="L25" s="10" t="str">
        <f>"工程管理"</f>
        <v>工程管理</v>
      </c>
      <c r="M25" s="10" t="str">
        <f>"2015-06"</f>
        <v>2015-06</v>
      </c>
      <c r="N25" s="20">
        <v>117.5</v>
      </c>
      <c r="O25" s="20">
        <v>108</v>
      </c>
      <c r="P25" s="18">
        <v>75.1666666666667</v>
      </c>
      <c r="Q25" s="18" t="s">
        <v>69</v>
      </c>
      <c r="R25" s="18">
        <v>78.1833333333333</v>
      </c>
    </row>
    <row r="26" customHeight="1" spans="1:18">
      <c r="A26" s="9">
        <v>24</v>
      </c>
      <c r="B26" s="10" t="s">
        <v>70</v>
      </c>
      <c r="C26" s="10" t="s">
        <v>20</v>
      </c>
      <c r="D26" s="10" t="str">
        <f>"202231"</f>
        <v>202231</v>
      </c>
      <c r="E26" s="10" t="str">
        <f>"994202203004"</f>
        <v>994202203004</v>
      </c>
      <c r="F26" s="10" t="str">
        <f>"王一飞"</f>
        <v>王一飞</v>
      </c>
      <c r="G26" s="10" t="str">
        <f>"男"</f>
        <v>男</v>
      </c>
      <c r="H26" s="10" t="str">
        <f>"1993-05-03"</f>
        <v>1993-05-03</v>
      </c>
      <c r="I26" s="10" t="str">
        <f t="shared" ref="I26:I33" si="9">"本科"</f>
        <v>本科</v>
      </c>
      <c r="J26" s="10" t="str">
        <f t="shared" si="8"/>
        <v>学士</v>
      </c>
      <c r="K26" s="10" t="str">
        <f>"天津城建大学"</f>
        <v>天津城建大学</v>
      </c>
      <c r="L26" s="10" t="str">
        <f>"土木工程"</f>
        <v>土木工程</v>
      </c>
      <c r="M26" s="10" t="str">
        <f>"2016-06"</f>
        <v>2016-06</v>
      </c>
      <c r="N26" s="20">
        <v>102.2</v>
      </c>
      <c r="O26" s="20">
        <v>101</v>
      </c>
      <c r="P26" s="18">
        <v>67.7333333333333</v>
      </c>
      <c r="Q26" s="18" t="s">
        <v>71</v>
      </c>
      <c r="R26" s="18">
        <v>71.9666666666667</v>
      </c>
    </row>
    <row r="27" customHeight="1" spans="1:18">
      <c r="A27" s="9">
        <v>25</v>
      </c>
      <c r="B27" s="10" t="s">
        <v>70</v>
      </c>
      <c r="C27" s="10" t="s">
        <v>30</v>
      </c>
      <c r="D27" s="10" t="str">
        <f>"202232"</f>
        <v>202232</v>
      </c>
      <c r="E27" s="10" t="str">
        <f>"994202203214"</f>
        <v>994202203214</v>
      </c>
      <c r="F27" s="10" t="str">
        <f>"王鹤"</f>
        <v>王鹤</v>
      </c>
      <c r="G27" s="10" t="str">
        <f>"男"</f>
        <v>男</v>
      </c>
      <c r="H27" s="10" t="str">
        <f>"1993-07-10"</f>
        <v>1993-07-10</v>
      </c>
      <c r="I27" s="10" t="str">
        <f t="shared" si="9"/>
        <v>本科</v>
      </c>
      <c r="J27" s="10" t="str">
        <f t="shared" si="8"/>
        <v>学士</v>
      </c>
      <c r="K27" s="11" t="str">
        <f>"安徽文达信息
工程学院"</f>
        <v>安徽文达信息
工程学院</v>
      </c>
      <c r="L27" s="10" t="str">
        <f>"电子信息工程"</f>
        <v>电子信息工程</v>
      </c>
      <c r="M27" s="10" t="str">
        <f>"2015-06"</f>
        <v>2015-06</v>
      </c>
      <c r="N27" s="20">
        <v>116.6</v>
      </c>
      <c r="O27" s="20">
        <v>117.5</v>
      </c>
      <c r="P27" s="18">
        <v>78.0333333333333</v>
      </c>
      <c r="Q27" s="18" t="s">
        <v>72</v>
      </c>
      <c r="R27" s="18">
        <v>79.7166666666667</v>
      </c>
    </row>
    <row r="28" customHeight="1" spans="1:18">
      <c r="A28" s="9">
        <v>26</v>
      </c>
      <c r="B28" s="10" t="s">
        <v>70</v>
      </c>
      <c r="C28" s="10" t="s">
        <v>20</v>
      </c>
      <c r="D28" s="10" t="str">
        <f>"202233"</f>
        <v>202233</v>
      </c>
      <c r="E28" s="10" t="str">
        <f>"994202203310"</f>
        <v>994202203310</v>
      </c>
      <c r="F28" s="10" t="str">
        <f>"陈嘉惠"</f>
        <v>陈嘉惠</v>
      </c>
      <c r="G28" s="10" t="str">
        <f>"女"</f>
        <v>女</v>
      </c>
      <c r="H28" s="10" t="str">
        <f>"1995-08-16"</f>
        <v>1995-08-16</v>
      </c>
      <c r="I28" s="10" t="str">
        <f t="shared" si="9"/>
        <v>本科</v>
      </c>
      <c r="J28" s="10" t="str">
        <f t="shared" si="8"/>
        <v>学士</v>
      </c>
      <c r="K28" s="10" t="str">
        <f>"江苏师范大学"</f>
        <v>江苏师范大学</v>
      </c>
      <c r="L28" s="10" t="str">
        <f>"经济学"</f>
        <v>经济学</v>
      </c>
      <c r="M28" s="10" t="str">
        <f>"2017-06"</f>
        <v>2017-06</v>
      </c>
      <c r="N28" s="20">
        <v>116.2</v>
      </c>
      <c r="O28" s="20">
        <v>114</v>
      </c>
      <c r="P28" s="20">
        <v>76.7333333333333</v>
      </c>
      <c r="Q28" s="20" t="s">
        <v>37</v>
      </c>
      <c r="R28" s="20">
        <v>76.2666666666667</v>
      </c>
    </row>
    <row r="29" customHeight="1" spans="1:18">
      <c r="A29" s="9">
        <v>27</v>
      </c>
      <c r="B29" s="11" t="s">
        <v>73</v>
      </c>
      <c r="C29" s="10" t="s">
        <v>20</v>
      </c>
      <c r="D29" s="10" t="str">
        <f>"202235"</f>
        <v>202235</v>
      </c>
      <c r="E29" s="10" t="str">
        <f>"994202203326"</f>
        <v>994202203326</v>
      </c>
      <c r="F29" s="10" t="str">
        <f>"杨涛"</f>
        <v>杨涛</v>
      </c>
      <c r="G29" s="10" t="str">
        <f>"男"</f>
        <v>男</v>
      </c>
      <c r="H29" s="10" t="str">
        <f>"1991-10-24"</f>
        <v>1991-10-24</v>
      </c>
      <c r="I29" s="10" t="str">
        <f t="shared" si="9"/>
        <v>本科</v>
      </c>
      <c r="J29" s="10" t="str">
        <f t="shared" si="8"/>
        <v>学士</v>
      </c>
      <c r="K29" s="10" t="str">
        <f>"黄山学院"</f>
        <v>黄山学院</v>
      </c>
      <c r="L29" s="10" t="str">
        <f>"林学"</f>
        <v>林学</v>
      </c>
      <c r="M29" s="10" t="str">
        <f>"2014-07"</f>
        <v>2014-07</v>
      </c>
      <c r="N29" s="20">
        <v>80.3</v>
      </c>
      <c r="O29" s="20">
        <v>110.5</v>
      </c>
      <c r="P29" s="18">
        <v>63.6</v>
      </c>
      <c r="Q29" s="18" t="s">
        <v>74</v>
      </c>
      <c r="R29" s="18">
        <v>65.5</v>
      </c>
    </row>
    <row r="30" customHeight="1" spans="1:18">
      <c r="A30" s="9">
        <v>28</v>
      </c>
      <c r="B30" s="10" t="s">
        <v>75</v>
      </c>
      <c r="C30" s="10" t="s">
        <v>20</v>
      </c>
      <c r="D30" s="10" t="str">
        <f>"202237"</f>
        <v>202237</v>
      </c>
      <c r="E30" s="10" t="str">
        <f>"994202203502"</f>
        <v>994202203502</v>
      </c>
      <c r="F30" s="10" t="str">
        <f>"张正"</f>
        <v>张正</v>
      </c>
      <c r="G30" s="10" t="str">
        <f>"男"</f>
        <v>男</v>
      </c>
      <c r="H30" s="10" t="str">
        <f>"1995-05-13"</f>
        <v>1995-05-13</v>
      </c>
      <c r="I30" s="10" t="str">
        <f t="shared" si="9"/>
        <v>本科</v>
      </c>
      <c r="J30" s="10" t="str">
        <f t="shared" si="8"/>
        <v>学士</v>
      </c>
      <c r="K30" s="10" t="str">
        <f>"牡丹江师范学院"</f>
        <v>牡丹江师范学院</v>
      </c>
      <c r="L30" s="11" t="str">
        <f>"电气工程
及其自动化"</f>
        <v>电气工程
及其自动化</v>
      </c>
      <c r="M30" s="10" t="str">
        <f>"2018-06"</f>
        <v>2018-06</v>
      </c>
      <c r="N30" s="20">
        <v>104.7</v>
      </c>
      <c r="O30" s="20">
        <v>109.5</v>
      </c>
      <c r="P30" s="18">
        <v>71.4</v>
      </c>
      <c r="Q30" s="18" t="s">
        <v>76</v>
      </c>
      <c r="R30" s="18">
        <v>74.7</v>
      </c>
    </row>
    <row r="31" customHeight="1" spans="1:18">
      <c r="A31" s="9">
        <v>29</v>
      </c>
      <c r="B31" s="10" t="s">
        <v>77</v>
      </c>
      <c r="C31" s="10" t="s">
        <v>20</v>
      </c>
      <c r="D31" s="10" t="str">
        <f>"202240"</f>
        <v>202240</v>
      </c>
      <c r="E31" s="10" t="str">
        <f>"994202203601"</f>
        <v>994202203601</v>
      </c>
      <c r="F31" s="10" t="str">
        <f>"尤俊宇"</f>
        <v>尤俊宇</v>
      </c>
      <c r="G31" s="10" t="str">
        <f>"男"</f>
        <v>男</v>
      </c>
      <c r="H31" s="10" t="str">
        <f>"2000-09-24"</f>
        <v>2000-09-24</v>
      </c>
      <c r="I31" s="10" t="str">
        <f t="shared" si="9"/>
        <v>本科</v>
      </c>
      <c r="J31" s="10" t="str">
        <f t="shared" si="8"/>
        <v>学士</v>
      </c>
      <c r="K31" s="11" t="s">
        <v>78</v>
      </c>
      <c r="L31" s="10" t="str">
        <f>"水务工程"</f>
        <v>水务工程</v>
      </c>
      <c r="M31" s="10" t="str">
        <f>"2022-06"</f>
        <v>2022-06</v>
      </c>
      <c r="N31" s="20">
        <v>105.2</v>
      </c>
      <c r="O31" s="20">
        <v>105.5</v>
      </c>
      <c r="P31" s="18">
        <v>70.2333333333333</v>
      </c>
      <c r="Q31" s="18" t="s">
        <v>79</v>
      </c>
      <c r="R31" s="18">
        <v>74.0166666666667</v>
      </c>
    </row>
    <row r="32" customHeight="1" spans="1:18">
      <c r="A32" s="9">
        <v>30</v>
      </c>
      <c r="B32" s="10" t="s">
        <v>77</v>
      </c>
      <c r="C32" s="10" t="s">
        <v>20</v>
      </c>
      <c r="D32" s="10" t="str">
        <f>"202240"</f>
        <v>202240</v>
      </c>
      <c r="E32" s="10" t="str">
        <f>"994202203605"</f>
        <v>994202203605</v>
      </c>
      <c r="F32" s="10" t="str">
        <f>"蒋毅"</f>
        <v>蒋毅</v>
      </c>
      <c r="G32" s="10" t="str">
        <f>"男"</f>
        <v>男</v>
      </c>
      <c r="H32" s="10" t="str">
        <f>"1999-11-02"</f>
        <v>1999-11-02</v>
      </c>
      <c r="I32" s="10" t="str">
        <f t="shared" si="9"/>
        <v>本科</v>
      </c>
      <c r="J32" s="10" t="str">
        <f t="shared" si="8"/>
        <v>学士</v>
      </c>
      <c r="K32" s="11" t="s">
        <v>78</v>
      </c>
      <c r="L32" s="10" t="str">
        <f>"水务工程"</f>
        <v>水务工程</v>
      </c>
      <c r="M32" s="10" t="str">
        <f>"2022-06"</f>
        <v>2022-06</v>
      </c>
      <c r="N32" s="20">
        <v>94.5</v>
      </c>
      <c r="O32" s="20">
        <v>100</v>
      </c>
      <c r="P32" s="18">
        <v>64.8333333333333</v>
      </c>
      <c r="Q32" s="18" t="s">
        <v>80</v>
      </c>
      <c r="R32" s="18">
        <v>71.2166666666667</v>
      </c>
    </row>
    <row r="33" customHeight="1" spans="1:18">
      <c r="A33" s="9">
        <v>31</v>
      </c>
      <c r="B33" s="10" t="s">
        <v>81</v>
      </c>
      <c r="C33" s="10" t="s">
        <v>20</v>
      </c>
      <c r="D33" s="10" t="str">
        <f>"202244"</f>
        <v>202244</v>
      </c>
      <c r="E33" s="10" t="str">
        <f>"994202203621"</f>
        <v>994202203621</v>
      </c>
      <c r="F33" s="10" t="str">
        <f>"王露宇"</f>
        <v>王露宇</v>
      </c>
      <c r="G33" s="10" t="str">
        <f>"男"</f>
        <v>男</v>
      </c>
      <c r="H33" s="10" t="str">
        <f>"2000-09-23"</f>
        <v>2000-09-23</v>
      </c>
      <c r="I33" s="10" t="str">
        <f>"专科"</f>
        <v>专科</v>
      </c>
      <c r="J33" s="10" t="str">
        <f>"无"</f>
        <v>无</v>
      </c>
      <c r="K33" s="11" t="str">
        <f>"安徽医学高等
专科学校"</f>
        <v>安徽医学高等
专科学校</v>
      </c>
      <c r="L33" s="10" t="str">
        <f>"预防医学"</f>
        <v>预防医学</v>
      </c>
      <c r="M33" s="10" t="str">
        <f>"2022-09"</f>
        <v>2022-09</v>
      </c>
      <c r="N33" s="20">
        <v>74.6</v>
      </c>
      <c r="O33" s="20">
        <v>96</v>
      </c>
      <c r="P33" s="18">
        <v>56.8666666666667</v>
      </c>
      <c r="Q33" s="18" t="s">
        <v>82</v>
      </c>
      <c r="R33" s="18">
        <v>63.7333333333333</v>
      </c>
    </row>
    <row r="34" customHeight="1" spans="1:18">
      <c r="A34" s="9">
        <v>32</v>
      </c>
      <c r="B34" s="10" t="s">
        <v>81</v>
      </c>
      <c r="C34" s="10" t="s">
        <v>20</v>
      </c>
      <c r="D34" s="10" t="str">
        <f>"202245"</f>
        <v>202245</v>
      </c>
      <c r="E34" s="10" t="str">
        <f>"994202203701"</f>
        <v>994202203701</v>
      </c>
      <c r="F34" s="10" t="str">
        <f>"孔芮"</f>
        <v>孔芮</v>
      </c>
      <c r="G34" s="10" t="str">
        <f>"女"</f>
        <v>女</v>
      </c>
      <c r="H34" s="10" t="str">
        <f>"2001-08-16"</f>
        <v>2001-08-16</v>
      </c>
      <c r="I34" s="10" t="str">
        <f>"专科"</f>
        <v>专科</v>
      </c>
      <c r="J34" s="10" t="str">
        <f>"无"</f>
        <v>无</v>
      </c>
      <c r="K34" s="11" t="str">
        <f>"滁州城市
职业学院"</f>
        <v>滁州城市
职业学院</v>
      </c>
      <c r="L34" s="10" t="str">
        <f>"医学检验技术"</f>
        <v>医学检验技术</v>
      </c>
      <c r="M34" s="10" t="str">
        <f>"2022-07"</f>
        <v>2022-07</v>
      </c>
      <c r="N34" s="20">
        <v>83.7</v>
      </c>
      <c r="O34" s="20">
        <v>115.5</v>
      </c>
      <c r="P34" s="20">
        <v>66.4</v>
      </c>
      <c r="Q34" s="20" t="s">
        <v>83</v>
      </c>
      <c r="R34" s="20">
        <v>73.2</v>
      </c>
    </row>
    <row r="35" customHeight="1" spans="1:18">
      <c r="A35" s="9">
        <v>33</v>
      </c>
      <c r="B35" s="10" t="s">
        <v>84</v>
      </c>
      <c r="C35" s="10" t="s">
        <v>20</v>
      </c>
      <c r="D35" s="10" t="str">
        <f>"202246"</f>
        <v>202246</v>
      </c>
      <c r="E35" s="14" t="s">
        <v>85</v>
      </c>
      <c r="F35" s="10" t="str">
        <f>"胡华婷"</f>
        <v>胡华婷</v>
      </c>
      <c r="G35" s="10" t="str">
        <f>"女"</f>
        <v>女</v>
      </c>
      <c r="H35" s="10" t="str">
        <f>"1995-12-14"</f>
        <v>1995-12-14</v>
      </c>
      <c r="I35" s="11" t="str">
        <f>"硕士
研究生"</f>
        <v>硕士
研究生</v>
      </c>
      <c r="J35" s="10" t="str">
        <f>"硕士"</f>
        <v>硕士</v>
      </c>
      <c r="K35" s="10" t="str">
        <f>"安徽财经大学"</f>
        <v>安徽财经大学</v>
      </c>
      <c r="L35" s="10" t="str">
        <f>"应用统计"</f>
        <v>应用统计</v>
      </c>
      <c r="M35" s="10" t="str">
        <f>"2019-06"</f>
        <v>2019-06</v>
      </c>
      <c r="N35" s="21">
        <v>122.6</v>
      </c>
      <c r="O35" s="22">
        <v>113.5</v>
      </c>
      <c r="P35" s="20">
        <v>78.7</v>
      </c>
      <c r="Q35" s="13" t="s">
        <v>86</v>
      </c>
      <c r="R35" s="20">
        <v>81.35</v>
      </c>
    </row>
    <row r="36" customHeight="1" spans="1:18">
      <c r="A36" s="9">
        <v>34</v>
      </c>
      <c r="B36" s="10" t="s">
        <v>87</v>
      </c>
      <c r="C36" s="10" t="s">
        <v>20</v>
      </c>
      <c r="D36" s="10" t="str">
        <f>"202247"</f>
        <v>202247</v>
      </c>
      <c r="E36" s="10" t="str">
        <f>"994202204010"</f>
        <v>994202204010</v>
      </c>
      <c r="F36" s="10" t="str">
        <f>"刘雅"</f>
        <v>刘雅</v>
      </c>
      <c r="G36" s="10" t="str">
        <f>"女"</f>
        <v>女</v>
      </c>
      <c r="H36" s="10" t="str">
        <f>"1997-05-18"</f>
        <v>1997-05-18</v>
      </c>
      <c r="I36" s="10" t="str">
        <f>"本科"</f>
        <v>本科</v>
      </c>
      <c r="J36" s="10" t="str">
        <f t="shared" ref="J36:J40" si="10">"学士"</f>
        <v>学士</v>
      </c>
      <c r="K36" s="10" t="str">
        <f>"嘉兴学院"</f>
        <v>嘉兴学院</v>
      </c>
      <c r="L36" s="10" t="str">
        <f>"制药工程"</f>
        <v>制药工程</v>
      </c>
      <c r="M36" s="10" t="str">
        <f>"2019-06"</f>
        <v>2019-06</v>
      </c>
      <c r="N36" s="20">
        <v>105.8</v>
      </c>
      <c r="O36" s="20">
        <v>106.5</v>
      </c>
      <c r="P36" s="20">
        <v>70.7666666666667</v>
      </c>
      <c r="Q36" s="20" t="s">
        <v>88</v>
      </c>
      <c r="R36" s="20">
        <v>76.3833333333333</v>
      </c>
    </row>
    <row r="37" customHeight="1" spans="1:18">
      <c r="A37" s="9">
        <v>35</v>
      </c>
      <c r="B37" s="10" t="s">
        <v>87</v>
      </c>
      <c r="C37" s="10" t="s">
        <v>30</v>
      </c>
      <c r="D37" s="10" t="str">
        <f>"202248"</f>
        <v>202248</v>
      </c>
      <c r="E37" s="10" t="str">
        <f>"994202204028"</f>
        <v>994202204028</v>
      </c>
      <c r="F37" s="10" t="str">
        <f>"王博远"</f>
        <v>王博远</v>
      </c>
      <c r="G37" s="10" t="str">
        <f t="shared" ref="G37:G40" si="11">"男"</f>
        <v>男</v>
      </c>
      <c r="H37" s="10" t="str">
        <f>"1998-08-02"</f>
        <v>1998-08-02</v>
      </c>
      <c r="I37" s="10" t="str">
        <f t="shared" ref="I37:I44" si="12">"本科"</f>
        <v>本科</v>
      </c>
      <c r="J37" s="10" t="str">
        <f t="shared" si="10"/>
        <v>学士</v>
      </c>
      <c r="K37" s="10" t="str">
        <f>"滁州学院"</f>
        <v>滁州学院</v>
      </c>
      <c r="L37" s="10" t="str">
        <f>"化学工程与工艺"</f>
        <v>化学工程与工艺</v>
      </c>
      <c r="M37" s="10" t="str">
        <f>"2020-06"</f>
        <v>2020-06</v>
      </c>
      <c r="N37" s="20">
        <v>118.7</v>
      </c>
      <c r="O37" s="20">
        <v>105.5</v>
      </c>
      <c r="P37" s="18">
        <v>74.7333333333333</v>
      </c>
      <c r="Q37" s="18" t="s">
        <v>89</v>
      </c>
      <c r="R37" s="18">
        <v>75.9666666666667</v>
      </c>
    </row>
    <row r="38" customHeight="1" spans="1:18">
      <c r="A38" s="9">
        <v>36</v>
      </c>
      <c r="B38" s="10" t="s">
        <v>87</v>
      </c>
      <c r="C38" s="10" t="s">
        <v>30</v>
      </c>
      <c r="D38" s="10" t="str">
        <f>"202248"</f>
        <v>202248</v>
      </c>
      <c r="E38" s="10" t="str">
        <f>"994202204111"</f>
        <v>994202204111</v>
      </c>
      <c r="F38" s="10" t="str">
        <f>"徐聪"</f>
        <v>徐聪</v>
      </c>
      <c r="G38" s="10" t="str">
        <f t="shared" si="11"/>
        <v>男</v>
      </c>
      <c r="H38" s="10" t="str">
        <f>"1999-04-25"</f>
        <v>1999-04-25</v>
      </c>
      <c r="I38" s="10" t="str">
        <f t="shared" si="12"/>
        <v>本科</v>
      </c>
      <c r="J38" s="10" t="str">
        <f t="shared" si="10"/>
        <v>学士</v>
      </c>
      <c r="K38" s="10" t="str">
        <f>"安徽工程大学"</f>
        <v>安徽工程大学</v>
      </c>
      <c r="L38" s="10" t="str">
        <f>"化学工程与工艺"</f>
        <v>化学工程与工艺</v>
      </c>
      <c r="M38" s="10" t="str">
        <f>"2021-06"</f>
        <v>2021-06</v>
      </c>
      <c r="N38" s="20">
        <v>106.9</v>
      </c>
      <c r="O38" s="20">
        <v>107.5</v>
      </c>
      <c r="P38" s="18">
        <v>71.4666666666667</v>
      </c>
      <c r="Q38" s="18" t="s">
        <v>60</v>
      </c>
      <c r="R38" s="18">
        <v>75.6333333333333</v>
      </c>
    </row>
    <row r="39" customHeight="1" spans="1:18">
      <c r="A39" s="9">
        <v>37</v>
      </c>
      <c r="B39" s="11" t="s">
        <v>90</v>
      </c>
      <c r="C39" s="10" t="s">
        <v>30</v>
      </c>
      <c r="D39" s="10" t="str">
        <f>"202250"</f>
        <v>202250</v>
      </c>
      <c r="E39" s="10" t="str">
        <f>"994202204129"</f>
        <v>994202204129</v>
      </c>
      <c r="F39" s="10" t="str">
        <f>"肖遥"</f>
        <v>肖遥</v>
      </c>
      <c r="G39" s="10" t="str">
        <f t="shared" si="11"/>
        <v>男</v>
      </c>
      <c r="H39" s="10" t="str">
        <f>"1995-01-12"</f>
        <v>1995-01-12</v>
      </c>
      <c r="I39" s="10" t="str">
        <f t="shared" si="12"/>
        <v>本科</v>
      </c>
      <c r="J39" s="10" t="str">
        <f t="shared" si="10"/>
        <v>学士</v>
      </c>
      <c r="K39" s="10" t="str">
        <f>"西南科技大学"</f>
        <v>西南科技大学</v>
      </c>
      <c r="L39" s="10" t="str">
        <f>"法学"</f>
        <v>法学</v>
      </c>
      <c r="M39" s="10" t="str">
        <f>"2017-06"</f>
        <v>2017-06</v>
      </c>
      <c r="N39" s="20">
        <v>116.2</v>
      </c>
      <c r="O39" s="20">
        <v>107.5</v>
      </c>
      <c r="P39" s="18">
        <v>74.5666666666667</v>
      </c>
      <c r="Q39" s="18" t="s">
        <v>91</v>
      </c>
      <c r="R39" s="18">
        <v>77.6833333333333</v>
      </c>
    </row>
    <row r="40" customHeight="1" spans="1:18">
      <c r="A40" s="9">
        <v>38</v>
      </c>
      <c r="B40" s="11" t="s">
        <v>92</v>
      </c>
      <c r="C40" s="10" t="s">
        <v>20</v>
      </c>
      <c r="D40" s="10" t="str">
        <f>"202252"</f>
        <v>202252</v>
      </c>
      <c r="E40" s="10" t="str">
        <f>"994202204209"</f>
        <v>994202204209</v>
      </c>
      <c r="F40" s="10" t="str">
        <f>"陈姚兆东"</f>
        <v>陈姚兆东</v>
      </c>
      <c r="G40" s="10" t="str">
        <f t="shared" si="11"/>
        <v>男</v>
      </c>
      <c r="H40" s="10" t="str">
        <f>"1998-12-25"</f>
        <v>1998-12-25</v>
      </c>
      <c r="I40" s="10" t="str">
        <f t="shared" si="12"/>
        <v>本科</v>
      </c>
      <c r="J40" s="10" t="str">
        <f t="shared" si="10"/>
        <v>学士</v>
      </c>
      <c r="K40" s="10" t="str">
        <f>"安徽工业大学"</f>
        <v>安徽工业大学</v>
      </c>
      <c r="L40" s="11" t="str">
        <f>"计算机科学
与技术"</f>
        <v>计算机科学
与技术</v>
      </c>
      <c r="M40" s="10" t="str">
        <f>"2021-06"</f>
        <v>2021-06</v>
      </c>
      <c r="N40" s="20">
        <v>112.4</v>
      </c>
      <c r="O40" s="20">
        <v>100.5</v>
      </c>
      <c r="P40" s="18">
        <v>70.9666666666667</v>
      </c>
      <c r="Q40" s="18" t="s">
        <v>93</v>
      </c>
      <c r="R40" s="18">
        <v>73.2833333333333</v>
      </c>
    </row>
    <row r="41" customHeight="1" spans="1:18">
      <c r="A41" s="9">
        <v>39</v>
      </c>
      <c r="B41" s="11" t="s">
        <v>94</v>
      </c>
      <c r="C41" s="10" t="s">
        <v>30</v>
      </c>
      <c r="D41" s="10" t="str">
        <f>"202253"</f>
        <v>202253</v>
      </c>
      <c r="E41" s="10" t="str">
        <f>"994202204311"</f>
        <v>994202204311</v>
      </c>
      <c r="F41" s="10" t="str">
        <f>"于琼"</f>
        <v>于琼</v>
      </c>
      <c r="G41" s="10" t="str">
        <f>"女"</f>
        <v>女</v>
      </c>
      <c r="H41" s="10" t="str">
        <f>"1989-11-09"</f>
        <v>1989-11-09</v>
      </c>
      <c r="I41" s="10" t="str">
        <f t="shared" si="12"/>
        <v>本科</v>
      </c>
      <c r="J41" s="10" t="str">
        <f>"无"</f>
        <v>无</v>
      </c>
      <c r="K41" s="10" t="str">
        <f>"国家开放大学"</f>
        <v>国家开放大学</v>
      </c>
      <c r="L41" s="10" t="str">
        <f>"法学"</f>
        <v>法学</v>
      </c>
      <c r="M41" s="10" t="str">
        <f>"2018-07"</f>
        <v>2018-07</v>
      </c>
      <c r="N41" s="20">
        <v>97</v>
      </c>
      <c r="O41" s="20">
        <v>116</v>
      </c>
      <c r="P41" s="20">
        <v>71</v>
      </c>
      <c r="Q41" s="20" t="s">
        <v>93</v>
      </c>
      <c r="R41" s="20">
        <v>73.3</v>
      </c>
    </row>
    <row r="42" customHeight="1" spans="1:18">
      <c r="A42" s="9">
        <v>40</v>
      </c>
      <c r="B42" s="11" t="s">
        <v>95</v>
      </c>
      <c r="C42" s="10" t="s">
        <v>30</v>
      </c>
      <c r="D42" s="10">
        <v>202254</v>
      </c>
      <c r="E42" s="10" t="str">
        <f>"994202204316"</f>
        <v>994202204316</v>
      </c>
      <c r="F42" s="10" t="str">
        <f>"范昊"</f>
        <v>范昊</v>
      </c>
      <c r="G42" s="10" t="str">
        <f>"男"</f>
        <v>男</v>
      </c>
      <c r="H42" s="10" t="str">
        <f>"1999-06-22"</f>
        <v>1999-06-22</v>
      </c>
      <c r="I42" s="10" t="str">
        <f t="shared" si="12"/>
        <v>本科</v>
      </c>
      <c r="J42" s="10" t="str">
        <f>"学士"</f>
        <v>学士</v>
      </c>
      <c r="K42" s="10" t="s">
        <v>96</v>
      </c>
      <c r="L42" s="10" t="s">
        <v>97</v>
      </c>
      <c r="M42" s="13" t="s">
        <v>98</v>
      </c>
      <c r="N42" s="20">
        <v>105.2</v>
      </c>
      <c r="O42" s="20">
        <v>109</v>
      </c>
      <c r="P42" s="20">
        <v>71.4</v>
      </c>
      <c r="Q42" s="13" t="s">
        <v>60</v>
      </c>
      <c r="R42" s="20">
        <v>75.6</v>
      </c>
    </row>
    <row r="43" customHeight="1" spans="1:18">
      <c r="A43" s="9">
        <v>41</v>
      </c>
      <c r="B43" s="10" t="s">
        <v>99</v>
      </c>
      <c r="C43" s="10" t="s">
        <v>20</v>
      </c>
      <c r="D43" s="10" t="str">
        <f>"202255"</f>
        <v>202255</v>
      </c>
      <c r="E43" s="10" t="str">
        <f>"994202204409"</f>
        <v>994202204409</v>
      </c>
      <c r="F43" s="10" t="str">
        <f>"申宇晗"</f>
        <v>申宇晗</v>
      </c>
      <c r="G43" s="10" t="str">
        <f>"男"</f>
        <v>男</v>
      </c>
      <c r="H43" s="10" t="str">
        <f>"2000-07-29"</f>
        <v>2000-07-29</v>
      </c>
      <c r="I43" s="10" t="str">
        <f t="shared" si="12"/>
        <v>本科</v>
      </c>
      <c r="J43" s="10" t="str">
        <f>"学士"</f>
        <v>学士</v>
      </c>
      <c r="K43" s="10" t="str">
        <f>"河南大学"</f>
        <v>河南大学</v>
      </c>
      <c r="L43" s="10" t="str">
        <f>"思想政治教育"</f>
        <v>思想政治教育</v>
      </c>
      <c r="M43" s="10" t="str">
        <f>"2022-06"</f>
        <v>2022-06</v>
      </c>
      <c r="N43" s="20">
        <v>100.5</v>
      </c>
      <c r="O43" s="20">
        <v>120</v>
      </c>
      <c r="P43" s="18">
        <v>73.5</v>
      </c>
      <c r="Q43" s="18" t="s">
        <v>76</v>
      </c>
      <c r="R43" s="18">
        <v>75.75</v>
      </c>
    </row>
    <row r="44" customHeight="1" spans="1:18">
      <c r="A44" s="9">
        <v>42</v>
      </c>
      <c r="B44" s="10" t="s">
        <v>99</v>
      </c>
      <c r="C44" s="10" t="s">
        <v>20</v>
      </c>
      <c r="D44" s="10" t="str">
        <f>"202255"</f>
        <v>202255</v>
      </c>
      <c r="E44" s="10" t="str">
        <f>"994202204402"</f>
        <v>994202204402</v>
      </c>
      <c r="F44" s="10" t="str">
        <f>"胡梦瑶"</f>
        <v>胡梦瑶</v>
      </c>
      <c r="G44" s="10" t="str">
        <f>"女"</f>
        <v>女</v>
      </c>
      <c r="H44" s="10" t="str">
        <f>"2000-03-23"</f>
        <v>2000-03-23</v>
      </c>
      <c r="I44" s="10" t="str">
        <f t="shared" si="12"/>
        <v>本科</v>
      </c>
      <c r="J44" s="10" t="str">
        <f>"学士"</f>
        <v>学士</v>
      </c>
      <c r="K44" s="10" t="str">
        <f>"安庆师范大学"</f>
        <v>安庆师范大学</v>
      </c>
      <c r="L44" s="10" t="str">
        <f>"汉语言文学"</f>
        <v>汉语言文学</v>
      </c>
      <c r="M44" s="10" t="str">
        <f>"2022-06"</f>
        <v>2022-06</v>
      </c>
      <c r="N44" s="20">
        <v>96.8</v>
      </c>
      <c r="O44" s="20">
        <v>113.5</v>
      </c>
      <c r="P44" s="20">
        <v>70.1</v>
      </c>
      <c r="Q44" s="20" t="s">
        <v>100</v>
      </c>
      <c r="R44" s="20">
        <v>74.75</v>
      </c>
    </row>
    <row r="45" customHeight="1" spans="1:18">
      <c r="A45" s="9">
        <v>43</v>
      </c>
      <c r="B45" s="10" t="s">
        <v>101</v>
      </c>
      <c r="C45" s="10" t="s">
        <v>30</v>
      </c>
      <c r="D45" s="10" t="str">
        <f>"202257"</f>
        <v>202257</v>
      </c>
      <c r="E45" s="10" t="str">
        <f>"994202204501"</f>
        <v>994202204501</v>
      </c>
      <c r="F45" s="10" t="str">
        <f>"陈静静"</f>
        <v>陈静静</v>
      </c>
      <c r="G45" s="10" t="str">
        <f>"女"</f>
        <v>女</v>
      </c>
      <c r="H45" s="10" t="str">
        <f>"1999-03-15"</f>
        <v>1999-03-15</v>
      </c>
      <c r="I45" s="10" t="str">
        <f t="shared" ref="I45:I51" si="13">"本科"</f>
        <v>本科</v>
      </c>
      <c r="J45" s="10" t="str">
        <f t="shared" ref="J45:J50" si="14">"学士"</f>
        <v>学士</v>
      </c>
      <c r="K45" s="11" t="str">
        <f>"河海大学
文天学院"</f>
        <v>河海大学
文天学院</v>
      </c>
      <c r="L45" s="10" t="str">
        <f>"工程造价"</f>
        <v>工程造价</v>
      </c>
      <c r="M45" s="10" t="str">
        <f>"2021-06"</f>
        <v>2021-06</v>
      </c>
      <c r="N45" s="20">
        <v>94.1</v>
      </c>
      <c r="O45" s="20">
        <v>110</v>
      </c>
      <c r="P45" s="20">
        <v>68.0333333333333</v>
      </c>
      <c r="Q45" s="20" t="s">
        <v>65</v>
      </c>
      <c r="R45" s="20">
        <v>74.9166666666667</v>
      </c>
    </row>
    <row r="46" customHeight="1" spans="1:18">
      <c r="A46" s="9">
        <v>44</v>
      </c>
      <c r="B46" s="10" t="s">
        <v>102</v>
      </c>
      <c r="C46" s="10" t="s">
        <v>20</v>
      </c>
      <c r="D46" s="10" t="str">
        <f>"202258"</f>
        <v>202258</v>
      </c>
      <c r="E46" s="10" t="str">
        <f>"994202204513"</f>
        <v>994202204513</v>
      </c>
      <c r="F46" s="10" t="str">
        <f>"卢国庆"</f>
        <v>卢国庆</v>
      </c>
      <c r="G46" s="10" t="str">
        <f>"男"</f>
        <v>男</v>
      </c>
      <c r="H46" s="10" t="str">
        <f>"1999-10-01"</f>
        <v>1999-10-01</v>
      </c>
      <c r="I46" s="10" t="str">
        <f t="shared" si="13"/>
        <v>本科</v>
      </c>
      <c r="J46" s="10" t="str">
        <f t="shared" si="14"/>
        <v>学士</v>
      </c>
      <c r="K46" s="10" t="str">
        <f>"安徽艺术学院"</f>
        <v>安徽艺术学院</v>
      </c>
      <c r="L46" s="10" t="str">
        <f>"音乐表演"</f>
        <v>音乐表演</v>
      </c>
      <c r="M46" s="10" t="str">
        <f>"2022-06"</f>
        <v>2022-06</v>
      </c>
      <c r="N46" s="20">
        <v>110.9</v>
      </c>
      <c r="O46" s="20">
        <v>102.5</v>
      </c>
      <c r="P46" s="18">
        <v>71.1333333333333</v>
      </c>
      <c r="Q46" s="18" t="s">
        <v>103</v>
      </c>
      <c r="R46" s="18">
        <v>74.7666666666667</v>
      </c>
    </row>
    <row r="47" customHeight="1" spans="1:18">
      <c r="A47" s="9">
        <v>45</v>
      </c>
      <c r="B47" s="10" t="s">
        <v>104</v>
      </c>
      <c r="C47" s="10" t="s">
        <v>20</v>
      </c>
      <c r="D47" s="10" t="str">
        <f>"202259"</f>
        <v>202259</v>
      </c>
      <c r="E47" s="10" t="str">
        <f>"994202204612"</f>
        <v>994202204612</v>
      </c>
      <c r="F47" s="10" t="str">
        <f>"何爱睿"</f>
        <v>何爱睿</v>
      </c>
      <c r="G47" s="10" t="str">
        <f>"男"</f>
        <v>男</v>
      </c>
      <c r="H47" s="10" t="str">
        <f>"1997-04-12"</f>
        <v>1997-04-12</v>
      </c>
      <c r="I47" s="10" t="str">
        <f t="shared" si="13"/>
        <v>本科</v>
      </c>
      <c r="J47" s="10" t="str">
        <f t="shared" si="14"/>
        <v>学士</v>
      </c>
      <c r="K47" s="10" t="str">
        <f>"山西师范大学"</f>
        <v>山西师范大学</v>
      </c>
      <c r="L47" s="10" t="str">
        <f>"旅游管理"</f>
        <v>旅游管理</v>
      </c>
      <c r="M47" s="10" t="str">
        <f>"2020-07"</f>
        <v>2020-07</v>
      </c>
      <c r="N47" s="20">
        <v>120.1</v>
      </c>
      <c r="O47" s="20">
        <v>105</v>
      </c>
      <c r="P47" s="18">
        <v>75.0333333333333</v>
      </c>
      <c r="Q47" s="18" t="s">
        <v>55</v>
      </c>
      <c r="R47" s="18">
        <v>78.8166666666666</v>
      </c>
    </row>
    <row r="48" customHeight="1" spans="1:18">
      <c r="A48" s="9">
        <v>46</v>
      </c>
      <c r="B48" s="10" t="s">
        <v>105</v>
      </c>
      <c r="C48" s="10" t="s">
        <v>20</v>
      </c>
      <c r="D48" s="10" t="str">
        <f>"202260"</f>
        <v>202260</v>
      </c>
      <c r="E48" s="10" t="str">
        <f>"994202204619"</f>
        <v>994202204619</v>
      </c>
      <c r="F48" s="10" t="str">
        <f>"陈姝娴"</f>
        <v>陈姝娴</v>
      </c>
      <c r="G48" s="10" t="str">
        <f t="shared" ref="G48:G53" si="15">"女"</f>
        <v>女</v>
      </c>
      <c r="H48" s="10" t="str">
        <f>"1999-10-04"</f>
        <v>1999-10-04</v>
      </c>
      <c r="I48" s="10" t="str">
        <f t="shared" si="13"/>
        <v>本科</v>
      </c>
      <c r="J48" s="10" t="str">
        <f t="shared" si="14"/>
        <v>学士</v>
      </c>
      <c r="K48" s="10" t="str">
        <f>"安徽大学"</f>
        <v>安徽大学</v>
      </c>
      <c r="L48" s="10" t="str">
        <f>"图书馆学"</f>
        <v>图书馆学</v>
      </c>
      <c r="M48" s="10" t="str">
        <f>"2021-06"</f>
        <v>2021-06</v>
      </c>
      <c r="N48" s="20">
        <v>87</v>
      </c>
      <c r="O48" s="20">
        <v>117</v>
      </c>
      <c r="P48" s="20">
        <v>68</v>
      </c>
      <c r="Q48" s="20" t="s">
        <v>106</v>
      </c>
      <c r="R48" s="20">
        <v>72.2</v>
      </c>
    </row>
    <row r="49" customHeight="1" spans="1:18">
      <c r="A49" s="9">
        <v>47</v>
      </c>
      <c r="B49" s="11" t="s">
        <v>107</v>
      </c>
      <c r="C49" s="10" t="s">
        <v>20</v>
      </c>
      <c r="D49" s="10" t="str">
        <f>"202261"</f>
        <v>202261</v>
      </c>
      <c r="E49" s="10" t="str">
        <f>"994202204713"</f>
        <v>994202204713</v>
      </c>
      <c r="F49" s="10" t="str">
        <f>"穆圣"</f>
        <v>穆圣</v>
      </c>
      <c r="G49" s="10" t="str">
        <f t="shared" ref="G49:G52" si="16">"男"</f>
        <v>男</v>
      </c>
      <c r="H49" s="10" t="str">
        <f>"1996-05-27"</f>
        <v>1996-05-27</v>
      </c>
      <c r="I49" s="10" t="str">
        <f t="shared" si="13"/>
        <v>本科</v>
      </c>
      <c r="J49" s="10" t="str">
        <f t="shared" si="14"/>
        <v>学士</v>
      </c>
      <c r="K49" s="10" t="str">
        <f>"铜陵学院"</f>
        <v>铜陵学院</v>
      </c>
      <c r="L49" s="10" t="str">
        <f>"国际经济与贸易"</f>
        <v>国际经济与贸易</v>
      </c>
      <c r="M49" s="10" t="str">
        <f>"2018-07"</f>
        <v>2018-07</v>
      </c>
      <c r="N49" s="20">
        <v>120.4</v>
      </c>
      <c r="O49" s="20">
        <v>111.5</v>
      </c>
      <c r="P49" s="18">
        <v>77.3</v>
      </c>
      <c r="Q49" s="18" t="s">
        <v>108</v>
      </c>
      <c r="R49" s="18">
        <v>80.05</v>
      </c>
    </row>
    <row r="50" customHeight="1" spans="1:18">
      <c r="A50" s="9">
        <v>48</v>
      </c>
      <c r="B50" s="10" t="s">
        <v>109</v>
      </c>
      <c r="C50" s="10" t="s">
        <v>30</v>
      </c>
      <c r="D50" s="10" t="str">
        <f>"202263"</f>
        <v>202263</v>
      </c>
      <c r="E50" s="10" t="str">
        <f>"994202204825"</f>
        <v>994202204825</v>
      </c>
      <c r="F50" s="10" t="str">
        <f>"张璐"</f>
        <v>张璐</v>
      </c>
      <c r="G50" s="10" t="str">
        <f t="shared" si="15"/>
        <v>女</v>
      </c>
      <c r="H50" s="10" t="str">
        <f>"1995-07-13"</f>
        <v>1995-07-13</v>
      </c>
      <c r="I50" s="10" t="str">
        <f t="shared" si="13"/>
        <v>本科</v>
      </c>
      <c r="J50" s="10" t="str">
        <f t="shared" si="14"/>
        <v>学士</v>
      </c>
      <c r="K50" s="10" t="str">
        <f>"黄山学院"</f>
        <v>黄山学院</v>
      </c>
      <c r="L50" s="10" t="str">
        <f>"会计学"</f>
        <v>会计学</v>
      </c>
      <c r="M50" s="10" t="str">
        <f>"2018-06"</f>
        <v>2018-06</v>
      </c>
      <c r="N50" s="20">
        <v>105.2</v>
      </c>
      <c r="O50" s="20">
        <v>117.5</v>
      </c>
      <c r="P50" s="20">
        <v>74.2333333333333</v>
      </c>
      <c r="Q50" s="20" t="s">
        <v>110</v>
      </c>
      <c r="R50" s="20">
        <v>78.2166666666667</v>
      </c>
    </row>
    <row r="51" customHeight="1" spans="1:18">
      <c r="A51" s="9">
        <v>49</v>
      </c>
      <c r="B51" s="11" t="s">
        <v>111</v>
      </c>
      <c r="C51" s="10" t="s">
        <v>30</v>
      </c>
      <c r="D51" s="10" t="str">
        <f>"202264"</f>
        <v>202264</v>
      </c>
      <c r="E51" s="10" t="str">
        <f>"994202204908"</f>
        <v>994202204908</v>
      </c>
      <c r="F51" s="10" t="str">
        <f>"张泽宇"</f>
        <v>张泽宇</v>
      </c>
      <c r="G51" s="10" t="str">
        <f t="shared" si="16"/>
        <v>男</v>
      </c>
      <c r="H51" s="10" t="str">
        <f>"1993-05-22"</f>
        <v>1993-05-22</v>
      </c>
      <c r="I51" s="10" t="str">
        <f t="shared" si="13"/>
        <v>本科</v>
      </c>
      <c r="J51" s="10" t="str">
        <f>"无"</f>
        <v>无</v>
      </c>
      <c r="K51" s="10" t="str">
        <f>"滁州学院"</f>
        <v>滁州学院</v>
      </c>
      <c r="L51" s="10" t="str">
        <f>"工商管理"</f>
        <v>工商管理</v>
      </c>
      <c r="M51" s="10" t="str">
        <f>"2019-07"</f>
        <v>2019-07</v>
      </c>
      <c r="N51" s="20">
        <v>112.5</v>
      </c>
      <c r="O51" s="20">
        <v>111</v>
      </c>
      <c r="P51" s="18">
        <v>74.5</v>
      </c>
      <c r="Q51" s="18" t="s">
        <v>21</v>
      </c>
      <c r="R51" s="18">
        <v>78.45</v>
      </c>
    </row>
    <row r="52" customHeight="1" spans="1:18">
      <c r="A52" s="9">
        <v>50</v>
      </c>
      <c r="B52" s="11" t="s">
        <v>111</v>
      </c>
      <c r="C52" s="10" t="s">
        <v>30</v>
      </c>
      <c r="D52" s="10" t="str">
        <f>"202265"</f>
        <v>202265</v>
      </c>
      <c r="E52" s="10" t="str">
        <f>"994202205614"</f>
        <v>994202205614</v>
      </c>
      <c r="F52" s="10" t="str">
        <f>"谢宗武"</f>
        <v>谢宗武</v>
      </c>
      <c r="G52" s="10" t="str">
        <f t="shared" si="16"/>
        <v>男</v>
      </c>
      <c r="H52" s="10" t="str">
        <f>"1989-12-15"</f>
        <v>1989-12-15</v>
      </c>
      <c r="I52" s="10" t="str">
        <f>"专科"</f>
        <v>专科</v>
      </c>
      <c r="J52" s="10" t="str">
        <f>"无"</f>
        <v>无</v>
      </c>
      <c r="K52" s="10" t="str">
        <f>"国家开放大学"</f>
        <v>国家开放大学</v>
      </c>
      <c r="L52" s="10" t="str">
        <f>"建设工程管理"</f>
        <v>建设工程管理</v>
      </c>
      <c r="M52" s="10" t="str">
        <f>"2021-01"</f>
        <v>2021-01</v>
      </c>
      <c r="N52" s="20">
        <v>117.4</v>
      </c>
      <c r="O52" s="20">
        <v>98</v>
      </c>
      <c r="P52" s="18">
        <v>71.8</v>
      </c>
      <c r="Q52" s="18" t="s">
        <v>112</v>
      </c>
      <c r="R52" s="18">
        <v>77.5</v>
      </c>
    </row>
    <row r="53" customHeight="1" spans="1:18">
      <c r="A53" s="9">
        <v>51</v>
      </c>
      <c r="B53" s="11" t="s">
        <v>111</v>
      </c>
      <c r="C53" s="10" t="s">
        <v>20</v>
      </c>
      <c r="D53" s="10" t="str">
        <f>"202266"</f>
        <v>202266</v>
      </c>
      <c r="E53" s="10" t="str">
        <f>"994202205623"</f>
        <v>994202205623</v>
      </c>
      <c r="F53" s="10" t="str">
        <f>"刘莹莹"</f>
        <v>刘莹莹</v>
      </c>
      <c r="G53" s="10" t="str">
        <f t="shared" si="15"/>
        <v>女</v>
      </c>
      <c r="H53" s="10" t="str">
        <f>"1993-01-24"</f>
        <v>1993-01-24</v>
      </c>
      <c r="I53" s="10" t="str">
        <f>"本科"</f>
        <v>本科</v>
      </c>
      <c r="J53" s="10" t="str">
        <f>"学士"</f>
        <v>学士</v>
      </c>
      <c r="K53" s="10" t="str">
        <f>"天津商业大学"</f>
        <v>天津商业大学</v>
      </c>
      <c r="L53" s="10" t="str">
        <f>"行政管理"</f>
        <v>行政管理</v>
      </c>
      <c r="M53" s="10" t="str">
        <f>"2015-06"</f>
        <v>2015-06</v>
      </c>
      <c r="N53" s="20">
        <v>118</v>
      </c>
      <c r="O53" s="20">
        <v>108.5</v>
      </c>
      <c r="P53" s="20">
        <v>75.5</v>
      </c>
      <c r="Q53" s="20" t="s">
        <v>113</v>
      </c>
      <c r="R53" s="20">
        <v>77.85</v>
      </c>
    </row>
  </sheetData>
  <mergeCells count="1">
    <mergeCell ref="A1:R1"/>
  </mergeCells>
  <pageMargins left="0.472222222222222" right="0.354166666666667" top="0.708333333333333" bottom="0.354166666666667" header="0.236111111111111" footer="0.196527777777778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5Duity</dc:creator>
  <cp:lastModifiedBy>5Duity</cp:lastModifiedBy>
  <dcterms:created xsi:type="dcterms:W3CDTF">2022-08-22T01:42:00Z</dcterms:created>
  <dcterms:modified xsi:type="dcterms:W3CDTF">2022-08-29T08:33:27Z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89E1A122CA90403AA3E0B97DF82D6E4C</vt:lpwstr>
  </property>
  <property fmtid="{D5CDD505-2E9C-101B-9397-08002B2CF9AE}" pid="3" name="KSOProductBuildVer">
    <vt:lpwstr>2052-11.1.0.12313</vt:lpwstr>
  </property>
</Properties>
</file>